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07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0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53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naming convention" sheetId="2" r:id="rId5"/>
    <sheet state="visible" name="signOfHIETone" sheetId="3" r:id="rId6"/>
    <sheet state="visible" name="signOfHIELvlOfCons" sheetId="4" r:id="rId7"/>
    <sheet state="visible" name="signOfHIEPosture" sheetId="5" r:id="rId8"/>
    <sheet state="visible" name="signOfHIEMoro" sheetId="6" r:id="rId9"/>
    <sheet state="visible" name="signOfHIESuck" sheetId="7" r:id="rId10"/>
    <sheet state="visible" name="signOfHIERespiratory" sheetId="8" r:id="rId11"/>
    <sheet state="visible" name="signOfHIEHeartRate" sheetId="9" r:id="rId12"/>
    <sheet state="visible" name="signOfHIEPupils" sheetId="10" r:id="rId13"/>
    <sheet state="visible" name="signOfHIESpontaneousActivity" sheetId="11" r:id="rId14"/>
    <sheet state="visible" name="noNeuroExamReason" sheetId="12" r:id="rId15"/>
    <sheet state="visible" name="consentStatus" sheetId="13" r:id="rId16"/>
    <sheet state="visible" name="treatmentAssign" sheetId="14" r:id="rId17"/>
    <sheet state="visible" name="targetTreatmentTemperature" sheetId="15" r:id="rId18"/>
    <sheet state="visible" name="blanketType" sheetId="16" r:id="rId19"/>
    <sheet state="visible" name="encephalopathyLevel" sheetId="17" r:id="rId20"/>
    <sheet state="visible" name="infantAge" sheetId="18" r:id="rId21"/>
    <sheet state="visible" name="infantSex" sheetId="19" r:id="rId22"/>
    <sheet state="visible" name="ethnicity" sheetId="20" r:id="rId23"/>
    <sheet state="visible" name="education" sheetId="21" r:id="rId24"/>
    <sheet state="visible" name="insurance" sheetId="22" r:id="rId25"/>
    <sheet state="visible" name="race" sheetId="23" r:id="rId26"/>
    <sheet state="visible" name="maritalStatus" sheetId="24" r:id="rId27"/>
    <sheet state="visible" name="deliveryMode" sheetId="25" r:id="rId28"/>
    <sheet state="visible" name="spontaneousRespirationTime" sheetId="26" r:id="rId29"/>
    <sheet state="visible" name="cordBloodGasSrc" sheetId="27" r:id="rId30"/>
    <sheet state="visible" name="bloodGasSrc" sheetId="28" r:id="rId31"/>
    <sheet state="visible" name="antibiotics" sheetId="29" r:id="rId32"/>
    <sheet state="visible" name="positiveCultureOrganism" sheetId="30" r:id="rId33"/>
    <sheet state="visible" name="positiveCultureOrganismType" sheetId="31" r:id="rId34"/>
    <sheet state="visible" name="positiveCultureSrc" sheetId="32" r:id="rId35"/>
    <sheet state="visible" name="surgery" sheetId="33" r:id="rId36"/>
    <sheet state="visible" name="birthDefect" sheetId="34" r:id="rId37"/>
    <sheet state="visible" name="anticonvulsants" sheetId="35" r:id="rId38"/>
    <sheet state="visible" name="analgesics" sheetId="36" r:id="rId39"/>
    <sheet state="visible" name="antipyretics" sheetId="37" r:id="rId40"/>
    <sheet state="visible" name="paralytics" sheetId="38" r:id="rId41"/>
    <sheet state="visible" name="respiratorySupportType" sheetId="39" r:id="rId42"/>
    <sheet state="visible" name="coolAfterIntervention" sheetId="40" r:id="rId43"/>
    <sheet state="visible" name="noCoolToEndPeriodReason" sheetId="41" r:id="rId44"/>
    <sheet state="visible" name="imaging" sheetId="42" r:id="rId45"/>
    <sheet state="visible" name="MRIReader" sheetId="43" r:id="rId46"/>
    <sheet state="visible" name="MRIObtainWindow" sheetId="44" r:id="rId47"/>
    <sheet state="visible" name="MRINoObtainReason" sheetId="45" r:id="rId48"/>
    <sheet state="visible" name="MRICerebralAtrophyGlobalLocal" sheetId="46" r:id="rId49"/>
    <sheet state="visible" name="MRICerebralAtrophyRegion" sheetId="47" r:id="rId50"/>
    <sheet state="visible" name="MRISeverity" sheetId="48" r:id="rId51"/>
    <sheet state="visible" name="MRIALICPLICSeverity" sheetId="49" r:id="rId52"/>
    <sheet state="visible" name="MRIInjurySeverity" sheetId="50" r:id="rId53"/>
    <sheet state="visible" name="MRINRNPatternOfInjury" sheetId="51" r:id="rId54"/>
    <sheet state="visible" name="MRINRNPatternOfInjuryExtent" sheetId="52" r:id="rId55"/>
    <sheet state="visible" name="MRINRNPatternOfInjuryLateral" sheetId="53" r:id="rId56"/>
    <sheet state="visible" name="MRIAbnormalRegion" sheetId="54" r:id="rId57"/>
    <sheet state="visible" name="MRIAbnormalSide" sheetId="55" r:id="rId58"/>
    <sheet state="visible" name="MRIAbnormalGMWM" sheetId="56" r:id="rId59"/>
    <sheet state="visible" name="MRIAbnormalExtent" sheetId="57" r:id="rId60"/>
    <sheet state="visible" name="MRIAbnormalType" sheetId="58" r:id="rId61"/>
    <sheet state="visible" name="elevatedTempDevice" sheetId="59" r:id="rId62"/>
    <sheet state="visible" name="elevatedTempDeviceMode" sheetId="60" r:id="rId63"/>
    <sheet state="visible" name="elevatedTempNoBathReason" sheetId="61" r:id="rId64"/>
    <sheet state="visible" name="bradycardiaEKGResult" sheetId="62" r:id="rId65"/>
    <sheet state="visible" name="bradycardiaDuration" sheetId="63" r:id="rId66"/>
    <sheet state="visible" name="bradycardiaHeartRateMin" sheetId="64" r:id="rId67"/>
    <sheet state="visible" name="SAEAlterationSkinIntegrity" sheetId="65" r:id="rId68"/>
    <sheet state="visible" name="SAEAttributable" sheetId="66" r:id="rId69"/>
    <sheet state="visible" name="SAEAction" sheetId="67" r:id="rId70"/>
    <sheet state="visible" name="SAEOutcome" sheetId="68" r:id="rId71"/>
    <sheet state="visible" name="deathCause" sheetId="69" r:id="rId72"/>
    <sheet state="visible" name="deathSrc" sheetId="70" r:id="rId73"/>
    <sheet state="visible" name="status" sheetId="71" r:id="rId74"/>
    <sheet state="visible" name="transferReason" sheetId="72" r:id="rId75"/>
    <sheet state="visible" name="transferOutcome" sheetId="73" r:id="rId76"/>
    <sheet state="visible" name="dischargeNeuroExamStatus" sheetId="74" r:id="rId77"/>
    <sheet state="visible" name="violationCircumstance" sheetId="75" r:id="rId78"/>
    <sheet state="visible" name="violationNature" sheetId="76" r:id="rId79"/>
    <sheet state="visible" name="interruptReason" sheetId="77" r:id="rId80"/>
    <sheet state="visible" name="relationship" sheetId="78" r:id="rId81"/>
    <sheet state="visible" name="receive" sheetId="79" r:id="rId82"/>
    <sheet state="visible" name="totalIncome" sheetId="80" r:id="rId83"/>
    <sheet state="visible" name="language" sheetId="81" r:id="rId84"/>
    <sheet state="visible" name="homeCareLocation" sheetId="82" r:id="rId85"/>
    <sheet state="visible" name="babysitterRelation" sheetId="83" r:id="rId86"/>
    <sheet state="visible" name="interviewLocation" sheetId="84" r:id="rId87"/>
    <sheet state="visible" name="livingArrange" sheetId="85" r:id="rId88"/>
    <sheet state="visible" name="medicationUse" sheetId="86" r:id="rId89"/>
    <sheet state="visible" name="eyeSurgeryReason" sheetId="87" r:id="rId90"/>
    <sheet state="visible" name="readmissionTimePeriod" sheetId="88" r:id="rId91"/>
    <sheet state="visible" name="readmissionLengthOfStay" sheetId="89" r:id="rId92"/>
    <sheet state="visible" name="readmissionPrimaryCause" sheetId="90" r:id="rId93"/>
    <sheet state="visible" name="eye" sheetId="91" r:id="rId94"/>
    <sheet state="visible" name="vision" sheetId="92" r:id="rId95"/>
    <sheet state="visible" name="hearing" sheetId="93" r:id="rId96"/>
    <sheet state="visible" name="hearingImpaired" sheetId="94" r:id="rId97"/>
    <sheet state="visible" name="hearingAid" sheetId="95" r:id="rId98"/>
    <sheet state="visible" name="swallow" sheetId="96" r:id="rId99"/>
    <sheet state="visible" name="passiveMuscleTone" sheetId="97" r:id="rId100"/>
    <sheet state="visible" name="grossMotorFunctionLevel" sheetId="98" r:id="rId101"/>
    <sheet state="visible" name="handPreference" sheetId="99" r:id="rId102"/>
    <sheet state="visible" name="protectiveReaction" sheetId="100" r:id="rId103"/>
    <sheet state="visible" name="limbMovement" sheetId="101" r:id="rId104"/>
    <sheet state="visible" name="deepTendonReflex" sheetId="102" r:id="rId105"/>
    <sheet state="visible" name="ankleClonus" sheetId="103" r:id="rId106"/>
    <sheet state="visible" name="plantarReflex" sheetId="104" r:id="rId107"/>
    <sheet state="visible" name="axisHeadNeck" sheetId="105" r:id="rId108"/>
    <sheet state="visible" name="axisTrunk" sheetId="106" r:id="rId109"/>
    <sheet state="visible" name="lowerLimbFunction" sheetId="107" r:id="rId110"/>
    <sheet state="visible" name="upperLimbFunction" sheetId="108" r:id="rId111"/>
    <sheet state="visible" name="handFunction" sheetId="109" r:id="rId112"/>
    <sheet state="visible" name="cerebralPalsyClass" sheetId="110" r:id="rId113"/>
    <sheet state="visible" name="examQuality" sheetId="111" r:id="rId114"/>
    <sheet state="visible" name="examFactorAffecting" sheetId="112" r:id="rId115"/>
    <sheet state="visible" name="BayleyIIIReasonNoSuccess" sheetId="113" r:id="rId116"/>
    <sheet state="visible" name="followupStatus" sheetId="114" r:id="rId117"/>
    <sheet state="visible" name="reasonLossFollowUp" sheetId="115" r:id="rId118"/>
    <sheet state="visible" name="childHealth" sheetId="116" r:id="rId119"/>
    <sheet state="visible" name="chartReview" sheetId="117" r:id="rId120"/>
    <sheet state="visible" name="education2" sheetId="118" r:id="rId121"/>
    <sheet state="visible" name="race2" sheetId="119" r:id="rId122"/>
    <sheet state="visible" name="severity" sheetId="120" r:id="rId123"/>
    <sheet state="visible" name="flagAdjudicatedOutcome" sheetId="121" r:id="rId124"/>
    <sheet state="visible" name="lesion" sheetId="122" r:id="rId125"/>
    <sheet state="visible" name="MRI2LevelPatternOfInjury" sheetId="123" r:id="rId126"/>
    <sheet state="visible" name="MRIOverallDiagnosis" sheetId="124" r:id="rId127"/>
    <sheet state="visible" name="MRINRNPatternOfInjuryWSvsBGT" sheetId="125" r:id="rId128"/>
    <sheet state="visible" name="outcomeGroup" sheetId="126" r:id="rId129"/>
    <sheet state="visible" name="cerebralAtrophyGlobalLocal" sheetId="127" r:id="rId130"/>
    <sheet state="visible" name="cererbalAtrophyQualAssessCC" sheetId="128" r:id="rId131"/>
    <sheet state="visible" name="ventricularDilatation" sheetId="129" r:id="rId132"/>
    <sheet state="visible" name="BGT" sheetId="130" r:id="rId133"/>
    <sheet state="visible" name="PLIC" sheetId="131" r:id="rId134"/>
    <sheet state="visible" name="watershed" sheetId="132" r:id="rId135"/>
    <sheet state="visible" name="whiteMatterInjury" sheetId="133" r:id="rId136"/>
    <sheet state="visible" name="extent" sheetId="134" r:id="rId137"/>
    <sheet state="visible" name="lateral" sheetId="135" r:id="rId138"/>
    <sheet state="visible" name="bloodGasSrc2" sheetId="136" r:id="rId139"/>
    <sheet state="visible" name="main" sheetId="137" r:id="rId140"/>
    <sheet state="visible" name="follow-up" sheetId="138" r:id="rId141"/>
    <sheet state="visible" name="derived data" sheetId="139" r:id="rId142"/>
  </sheets>
  <definedNames/>
  <calcPr/>
</workbook>
</file>

<file path=xl/sharedStrings.xml><?xml version="1.0" encoding="utf-8"?>
<sst xmlns="http://schemas.openxmlformats.org/spreadsheetml/2006/main" count="25000" uniqueCount="8758">
  <si>
    <t>Category</t>
  </si>
  <si>
    <t>Subcategory</t>
  </si>
  <si>
    <t>Standardized_VariableNames_Dictionary</t>
  </si>
  <si>
    <t>type</t>
  </si>
  <si>
    <t>Variable_Description</t>
  </si>
  <si>
    <t>#studies w/ this var</t>
  </si>
  <si>
    <t>redcap</t>
  </si>
  <si>
    <t>comment</t>
  </si>
  <si>
    <t>LH</t>
  </si>
  <si>
    <t>OC</t>
  </si>
  <si>
    <t>Pre-intervention</t>
  </si>
  <si>
    <t>Identity</t>
  </si>
  <si>
    <t>center</t>
  </si>
  <si>
    <t>Center:</t>
  </si>
  <si>
    <t>CENTER</t>
  </si>
  <si>
    <t>subjectID</t>
  </si>
  <si>
    <t>text</t>
  </si>
  <si>
    <t>Hypothermia ID (study id)</t>
  </si>
  <si>
    <t>subject_id</t>
  </si>
  <si>
    <t>HTHRM_ID</t>
  </si>
  <si>
    <t>Screening</t>
  </si>
  <si>
    <t>siteID</t>
  </si>
  <si>
    <t>Site number</t>
  </si>
  <si>
    <t>site_id</t>
  </si>
  <si>
    <t>SITENM</t>
  </si>
  <si>
    <t>birthDate</t>
  </si>
  <si>
    <t>date</t>
  </si>
  <si>
    <t>birth date</t>
  </si>
  <si>
    <t>birth_date</t>
  </si>
  <si>
    <t>BIRTHDT</t>
  </si>
  <si>
    <t>birthNumber</t>
  </si>
  <si>
    <t>int</t>
  </si>
  <si>
    <t>birth number</t>
  </si>
  <si>
    <t>birth_number</t>
  </si>
  <si>
    <t>BIRTHNM</t>
  </si>
  <si>
    <t>screenComment</t>
  </si>
  <si>
    <t>Screening Comments</t>
  </si>
  <si>
    <t>screen_comment</t>
  </si>
  <si>
    <t>COMMENT</t>
  </si>
  <si>
    <t>coreTempLess32p5COverEq2Hr_e</t>
  </si>
  <si>
    <t>bool</t>
  </si>
  <si>
    <t>Core temperature &lt; 32.5°C for &gt;= two hours at time of randomization?</t>
  </si>
  <si>
    <t>core_temp_less32p5c_over_eq2hr_e</t>
  </si>
  <si>
    <t>OC2TMP2</t>
  </si>
  <si>
    <t>coreTempLess33p5COver1Hr_e</t>
  </si>
  <si>
    <t>Core temperature &lt; 33.5C for &gt; one hour at time of screening?</t>
  </si>
  <si>
    <t>core_temp_less33p5c_over1hr_e</t>
  </si>
  <si>
    <t>OC2TEMP</t>
  </si>
  <si>
    <t>coreTempLess34COver1Hr_e</t>
  </si>
  <si>
    <t>Core temperature &lt; 34C for &gt; one hour at time of screening?</t>
  </si>
  <si>
    <t>core_temp_below34c_over1hr</t>
  </si>
  <si>
    <t>LH2TEMP</t>
  </si>
  <si>
    <t>first6HrCoolByClinicalProtocol_e</t>
  </si>
  <si>
    <t>Was patient cooled using clinical protocol at &lt;6hrs? (Unable to randomize infant by 6 hrs of age)</t>
  </si>
  <si>
    <t>first6hr_cool_by_clinical_protocol_e</t>
  </si>
  <si>
    <t>LH2COOLD</t>
  </si>
  <si>
    <t>OC2NORAN</t>
  </si>
  <si>
    <t>chromosomalAbnormality_e</t>
  </si>
  <si>
    <t>Chromosomal abnormality?</t>
  </si>
  <si>
    <t>chromosomal_abnormality_e</t>
  </si>
  <si>
    <t>LH2CHROM</t>
  </si>
  <si>
    <t>OC2CHROM</t>
  </si>
  <si>
    <t>majorCongenitalAnomaly_e</t>
  </si>
  <si>
    <t>Major congenital anomaly?</t>
  </si>
  <si>
    <t>major_congenital_anomaly_e</t>
  </si>
  <si>
    <t>LH2CNGEN</t>
  </si>
  <si>
    <t>OC2CNGEN</t>
  </si>
  <si>
    <t>birthWeightLessEq1800g_e</t>
  </si>
  <si>
    <t>Birth weight ≤1800g?</t>
  </si>
  <si>
    <t>birth_weight_less_eq1800g_e</t>
  </si>
  <si>
    <t>LH2WGHT</t>
  </si>
  <si>
    <t>OC2WGHT</t>
  </si>
  <si>
    <t>infantUnlikelySurvive_e</t>
  </si>
  <si>
    <t>Infant unlikely to survive?</t>
  </si>
  <si>
    <t>infant_unlikely_survive_e</t>
  </si>
  <si>
    <t>LH2SURV</t>
  </si>
  <si>
    <t>OC2SURV</t>
  </si>
  <si>
    <t>first60MinAllBloodGasPHGreater7p15BaseDeficitLess10mEqPerL_e</t>
  </si>
  <si>
    <t>ALL blood gases (cord, postnatal) done within the first 60 minutes had a pH &gt;7.15 AND a base deficit &lt;10 mEq/L (source can be arterial, venous, or capillary)?</t>
  </si>
  <si>
    <t>first60min_all_blood_gas_ph_greater7p15base_deficit_less10meqperl_e</t>
  </si>
  <si>
    <t>LH2ALLBG</t>
  </si>
  <si>
    <t>OC2ALLBG</t>
  </si>
  <si>
    <t>postnatalAgeLess6HrOrGreater24Hr_e</t>
  </si>
  <si>
    <t>Postnatal age &lt; 6 hours or &gt; 24 hours</t>
  </si>
  <si>
    <t>postnatal_age_less6hr_or_greater24hr_e</t>
  </si>
  <si>
    <t>LH2POSTN</t>
  </si>
  <si>
    <t>enrolledConflictingTrial_e</t>
  </si>
  <si>
    <t>Exclusion criteria: Enrolled in conflicting trial</t>
  </si>
  <si>
    <t>enrolled_conflicting_trial_e</t>
  </si>
  <si>
    <t>LH2CNFCT</t>
  </si>
  <si>
    <t>first60MinAnyBloodGasPHLessEq7_i</t>
  </si>
  <si>
    <t>ANY blood gas (cord, postnatal) done within the first 60 minutes had a pH ≤7.0 (source can be arterial, venous, or capillary)?</t>
  </si>
  <si>
    <t>first60min_any_blood_gas_ph_less_eq7_i</t>
  </si>
  <si>
    <t>LH2PH</t>
  </si>
  <si>
    <t>OC2PH</t>
  </si>
  <si>
    <t>first60MinAnyBloodGasBaseDeficitGreaterEq16mEqPerL_i</t>
  </si>
  <si>
    <t>ANY blood gas (cord, postnatal) done within the first 60 minutes had a base deficit ≥16 mEq/L (source can be arterial, venous, or capillary)?</t>
  </si>
  <si>
    <t>first60min_any_blood_gas_base_deficit_greater_eq16meqperl_i</t>
  </si>
  <si>
    <t>LH2DEFIC</t>
  </si>
  <si>
    <t>OC2DEFIC</t>
  </si>
  <si>
    <t>historyPerinatalEvent_i</t>
  </si>
  <si>
    <t>History of perinatal event?</t>
  </si>
  <si>
    <t>history_perinatal_event_i</t>
  </si>
  <si>
    <t>LH2HIST</t>
  </si>
  <si>
    <t>OC2HIST</t>
  </si>
  <si>
    <t>at10MinApgarLessEq5OrVent_i</t>
  </si>
  <si>
    <t>Apgar at 10 minutes ≤ 5 or continued need for ventilatory support at 10 minutes?</t>
  </si>
  <si>
    <t>at10min_apgar_less_eq5_or_vent_i</t>
  </si>
  <si>
    <t>LH2APGA</t>
  </si>
  <si>
    <t>OC2APGA</t>
  </si>
  <si>
    <t>randomEligible</t>
  </si>
  <si>
    <t>Infant eligible for randomization</t>
  </si>
  <si>
    <t>random_eligible</t>
  </si>
  <si>
    <t>OC2ELIG</t>
  </si>
  <si>
    <t>consentStatus</t>
  </si>
  <si>
    <t>Consent Status</t>
  </si>
  <si>
    <t>consent_status</t>
  </si>
  <si>
    <t>LH2CONS</t>
  </si>
  <si>
    <t>OC2CONS</t>
  </si>
  <si>
    <t>noConsentReason</t>
  </si>
  <si>
    <t>Reason consent not requested, state</t>
  </si>
  <si>
    <t>no_consent_reason</t>
  </si>
  <si>
    <t>LH2REAS</t>
  </si>
  <si>
    <t>OC2REAS</t>
  </si>
  <si>
    <t>noInStudyReason</t>
  </si>
  <si>
    <t>Reason patient not entered in study, but consented and was eligible, state:</t>
  </si>
  <si>
    <t>no_in_study_reason</t>
  </si>
  <si>
    <t>LH2CONSP</t>
  </si>
  <si>
    <t>random</t>
  </si>
  <si>
    <t>Was the infant randomized</t>
  </si>
  <si>
    <t>OC2RAND</t>
  </si>
  <si>
    <t>noRandomReason</t>
  </si>
  <si>
    <t>infant not randomized-reason</t>
  </si>
  <si>
    <t>no_random_reason</t>
  </si>
  <si>
    <t>OC2NRREA</t>
  </si>
  <si>
    <t>noRandomReasonText</t>
  </si>
  <si>
    <t>infant not randomized-reason specify</t>
  </si>
  <si>
    <t>no_random_reason_text</t>
  </si>
  <si>
    <t>OC2NRRES</t>
  </si>
  <si>
    <t>randomDate</t>
  </si>
  <si>
    <t>Date of Randomization</t>
  </si>
  <si>
    <t>random_date</t>
  </si>
  <si>
    <t>LH2RANDT</t>
  </si>
  <si>
    <t>OC2RANDT</t>
  </si>
  <si>
    <t>randomTime</t>
  </si>
  <si>
    <t>time</t>
  </si>
  <si>
    <t>Time of Randomization (24hr)</t>
  </si>
  <si>
    <t>random_time</t>
  </si>
  <si>
    <t>LH2RANTM</t>
  </si>
  <si>
    <t>OC2RANTM</t>
  </si>
  <si>
    <t>randomNumber</t>
  </si>
  <si>
    <t>Randomization Number</t>
  </si>
  <si>
    <t>random_number</t>
  </si>
  <si>
    <t>LH2RANNM</t>
  </si>
  <si>
    <t>OC2RANNM</t>
  </si>
  <si>
    <t>randomTreatmentAssign</t>
  </si>
  <si>
    <t>treatmentAssign</t>
  </si>
  <si>
    <t>Treatment assignment / Randomization Assignment</t>
  </si>
  <si>
    <t>random_treatment_assign</t>
  </si>
  <si>
    <t>L6TRTMT</t>
  </si>
  <si>
    <t>OC2RANNA</t>
  </si>
  <si>
    <t>randomTreatmentReceive</t>
  </si>
  <si>
    <t>Once randomized, treatment received</t>
  </si>
  <si>
    <t>random_treatment_receive</t>
  </si>
  <si>
    <t>OC2RTRTM</t>
  </si>
  <si>
    <t>treatmentBlanketType</t>
  </si>
  <si>
    <t>blanketType</t>
  </si>
  <si>
    <t>treatment - Blanket Type</t>
  </si>
  <si>
    <t>treatment_blanket_type</t>
  </si>
  <si>
    <t>OC2BYYPE</t>
  </si>
  <si>
    <t>baby is less than 35 weeks at the deliveryPlease</t>
  </si>
  <si>
    <t>inOtherTrial</t>
  </si>
  <si>
    <t>Participation in other interventional trial?</t>
  </si>
  <si>
    <t>in_other_trial</t>
  </si>
  <si>
    <t>LH13PART</t>
  </si>
  <si>
    <t>OC13POIT</t>
  </si>
  <si>
    <t>inOtherTrialText</t>
  </si>
  <si>
    <t>Specify other intervention trial</t>
  </si>
  <si>
    <t>in_other_trial_text</t>
  </si>
  <si>
    <t>LH13PTSP</t>
  </si>
  <si>
    <t>OC13POIS</t>
  </si>
  <si>
    <t>consideredForHypothermia</t>
  </si>
  <si>
    <t xml:space="preserve">Infant considered for cooling? </t>
  </si>
  <si>
    <t>cooling_eval</t>
  </si>
  <si>
    <t>hypothermia</t>
  </si>
  <si>
    <t>If the patient received therapeutic hypothermia</t>
  </si>
  <si>
    <t>noHypothermiaReason</t>
  </si>
  <si>
    <t>If therapeutic hypothermia not initiated, why?</t>
  </si>
  <si>
    <t>th_no</t>
  </si>
  <si>
    <t>noHypothermiaReasonOther</t>
  </si>
  <si>
    <t>Specify other reason why TH not initiated</t>
  </si>
  <si>
    <t>th_no_oth</t>
  </si>
  <si>
    <t>hypothermiaStandard</t>
  </si>
  <si>
    <t>Within standard cooling guidelines?</t>
  </si>
  <si>
    <t>th_standard</t>
  </si>
  <si>
    <t>hypotheriaDeviation</t>
  </si>
  <si>
    <t>If not within standard cooling guidelines, what deviated?</t>
  </si>
  <si>
    <t>th_dev_yes</t>
  </si>
  <si>
    <t>hypothermiaDeviationOther</t>
  </si>
  <si>
    <t>Specify other</t>
  </si>
  <si>
    <t>th_dev_oth</t>
  </si>
  <si>
    <t>enrollmentSite</t>
  </si>
  <si>
    <t>Hospital associated with MRN</t>
  </si>
  <si>
    <t>hospital_of_mrn</t>
  </si>
  <si>
    <t>treatmentGroup</t>
  </si>
  <si>
    <t>Which group does the subject fall under?</t>
  </si>
  <si>
    <t>subject_group</t>
  </si>
  <si>
    <t>eligibilityTH</t>
  </si>
  <si>
    <t>Does the subject meet eligibility requirements (TH)?</t>
  </si>
  <si>
    <t>eligibility_th</t>
  </si>
  <si>
    <t>eligibilityNoTH</t>
  </si>
  <si>
    <t>Does the subject meet eligibility requirements (no-TH)?</t>
  </si>
  <si>
    <t>eligibility_noth</t>
  </si>
  <si>
    <t>Maternal Demographics</t>
  </si>
  <si>
    <t>motherAge_year</t>
  </si>
  <si>
    <t>Mother age (years)</t>
  </si>
  <si>
    <t>mother_age_year</t>
  </si>
  <si>
    <t>LH4MAGE</t>
  </si>
  <si>
    <t>OC4MAGE</t>
  </si>
  <si>
    <t>motherRace</t>
  </si>
  <si>
    <t>race</t>
  </si>
  <si>
    <t>Mother race</t>
  </si>
  <si>
    <t>mother_race</t>
  </si>
  <si>
    <t>LH4MRACE</t>
  </si>
  <si>
    <t>OC4RACE</t>
  </si>
  <si>
    <t>motherRaceOther1</t>
  </si>
  <si>
    <t>Mother race Other Race-1</t>
  </si>
  <si>
    <t>mother_race_other1</t>
  </si>
  <si>
    <t>LH4ORAC1</t>
  </si>
  <si>
    <t>OC4RAC1</t>
  </si>
  <si>
    <t>motherRaceOther2</t>
  </si>
  <si>
    <t>Mother race Other Race-2</t>
  </si>
  <si>
    <t>mother_race_other2</t>
  </si>
  <si>
    <t>LH4ORAC2</t>
  </si>
  <si>
    <t>OC4RAC2</t>
  </si>
  <si>
    <t>motherRaceOther3</t>
  </si>
  <si>
    <t>Mother race Other Race-3</t>
  </si>
  <si>
    <t>mother_race_other3</t>
  </si>
  <si>
    <t>LH4ORAC3</t>
  </si>
  <si>
    <t>OC4RAC3</t>
  </si>
  <si>
    <t>motherRaceOther4</t>
  </si>
  <si>
    <t>Mother race Other Race-4</t>
  </si>
  <si>
    <t>mother_race_other4</t>
  </si>
  <si>
    <t>LH4ORAC4</t>
  </si>
  <si>
    <t>OC4RAC4</t>
  </si>
  <si>
    <t>motherRaceOther5</t>
  </si>
  <si>
    <t>Mother race Other Race-5</t>
  </si>
  <si>
    <t>mother_race_other5</t>
  </si>
  <si>
    <t>OC4RAC5</t>
  </si>
  <si>
    <t>motherRaceOther6</t>
  </si>
  <si>
    <t>Mother race Other Race-6</t>
  </si>
  <si>
    <t>mother_race_other6</t>
  </si>
  <si>
    <t>OC4RAC6</t>
  </si>
  <si>
    <t>motherEthnicity</t>
  </si>
  <si>
    <t>ethnicity</t>
  </si>
  <si>
    <t>Ethnic categories</t>
  </si>
  <si>
    <t>mother_ethnicity</t>
  </si>
  <si>
    <t>LH4ETHNI</t>
  </si>
  <si>
    <t>OC4ETHN</t>
  </si>
  <si>
    <t>motherMaritalStatus</t>
  </si>
  <si>
    <t>maritalStatus</t>
  </si>
  <si>
    <t>Marital status (mother)</t>
  </si>
  <si>
    <t>mother_marital_status</t>
  </si>
  <si>
    <t>LH4MSTAT</t>
  </si>
  <si>
    <t>OC4MSTA</t>
  </si>
  <si>
    <t>motherEducation</t>
  </si>
  <si>
    <t>education</t>
  </si>
  <si>
    <t>Educational status (check highest level)</t>
  </si>
  <si>
    <t>mother_education</t>
  </si>
  <si>
    <t>LH4EDUC</t>
  </si>
  <si>
    <t>OC4EDUC</t>
  </si>
  <si>
    <t>motherInsurance</t>
  </si>
  <si>
    <t>insurance</t>
  </si>
  <si>
    <t>Mother's Medical Insurance</t>
  </si>
  <si>
    <t>mother_insurance</t>
  </si>
  <si>
    <t>OC4MDINS</t>
  </si>
  <si>
    <t>Pregnancy History</t>
  </si>
  <si>
    <t>gravida</t>
  </si>
  <si>
    <t>Gravida (total number of pregnancies the mother has had)</t>
  </si>
  <si>
    <t>LH4GRAV</t>
  </si>
  <si>
    <t>OC4FRAV</t>
  </si>
  <si>
    <t>parity</t>
  </si>
  <si>
    <t>Parity (the number of times the mother has given birth to a live neonate)</t>
  </si>
  <si>
    <t>LH4PARI</t>
  </si>
  <si>
    <t>OC4PARI</t>
  </si>
  <si>
    <t>multipleBirth</t>
  </si>
  <si>
    <t>Multiple births?</t>
  </si>
  <si>
    <t>multiple_birth</t>
  </si>
  <si>
    <t>LH4MBRT</t>
  </si>
  <si>
    <t>OC4MBIR</t>
  </si>
  <si>
    <t>numFetus</t>
  </si>
  <si>
    <t>Number of fetuses</t>
  </si>
  <si>
    <t>num_fetus</t>
  </si>
  <si>
    <t>LH4FNUM</t>
  </si>
  <si>
    <t>OC4NFET</t>
  </si>
  <si>
    <t>prenatalCare</t>
  </si>
  <si>
    <t>Receive any prenatal care?</t>
  </si>
  <si>
    <t>prenatal_care</t>
  </si>
  <si>
    <t>LH4PCARE</t>
  </si>
  <si>
    <t>OC4PCAR</t>
  </si>
  <si>
    <t>hypertensionEclampsia</t>
  </si>
  <si>
    <t>Hypertension/pre-eclampsia/eclampsia?</t>
  </si>
  <si>
    <t>hypertension_eclampsia</t>
  </si>
  <si>
    <t>LH4HYPR</t>
  </si>
  <si>
    <t>OC4HYPE</t>
  </si>
  <si>
    <t>antepartumHemorrhage</t>
  </si>
  <si>
    <t>Antepartum hemorrhage?</t>
  </si>
  <si>
    <t>antepartum_hemorrhage</t>
  </si>
  <si>
    <t>LH4HMRG</t>
  </si>
  <si>
    <t>OC4ANTE</t>
  </si>
  <si>
    <t>thyroidMalfunction</t>
  </si>
  <si>
    <t>Thyroid malfunction?</t>
  </si>
  <si>
    <t>thyroid_malfunction</t>
  </si>
  <si>
    <t>LH4THYR</t>
  </si>
  <si>
    <t>OC4THYR</t>
  </si>
  <si>
    <t>diabetes</t>
  </si>
  <si>
    <t>Diabetes during pregnancy?</t>
  </si>
  <si>
    <t>LH4DIAB</t>
  </si>
  <si>
    <t>OC4DIAB</t>
  </si>
  <si>
    <t>Labor Delivery</t>
  </si>
  <si>
    <t>maternalAdmissionDate</t>
  </si>
  <si>
    <t>Date of maternal admission</t>
  </si>
  <si>
    <t>maternal_admission_date</t>
  </si>
  <si>
    <t>LH4ADMDT</t>
  </si>
  <si>
    <t>OC4ADAT</t>
  </si>
  <si>
    <t>maternalAdmissionTime</t>
  </si>
  <si>
    <t>Time of maternal admission</t>
  </si>
  <si>
    <t>maternal_admission_time</t>
  </si>
  <si>
    <t>LH4ADMTM</t>
  </si>
  <si>
    <t>OC4ATIM</t>
  </si>
  <si>
    <t>ruptureDate</t>
  </si>
  <si>
    <t>Date of rupture</t>
  </si>
  <si>
    <t>rupture_date</t>
  </si>
  <si>
    <t>LH4RPDT</t>
  </si>
  <si>
    <t>OC4RDAT</t>
  </si>
  <si>
    <t>ruptureTime</t>
  </si>
  <si>
    <t>Time of rupture</t>
  </si>
  <si>
    <t>rupture_time</t>
  </si>
  <si>
    <t>LH4RPTM</t>
  </si>
  <si>
    <t>OC4RTIM</t>
  </si>
  <si>
    <t>ruptureOver18Hr</t>
  </si>
  <si>
    <t>If RDAT/RTIM unknown, ROM &gt; 18 hours?</t>
  </si>
  <si>
    <t>rupture_over18hr</t>
  </si>
  <si>
    <t>LH4ESTIM</t>
  </si>
  <si>
    <t>OC4ROME</t>
  </si>
  <si>
    <t>ruptureBeforeDelivery</t>
  </si>
  <si>
    <t>Were rupture of membranes prior to delivery?</t>
  </si>
  <si>
    <t>rupture_before_delivery</t>
  </si>
  <si>
    <t>OC4RUPT</t>
  </si>
  <si>
    <t>labor</t>
  </si>
  <si>
    <t>LABOR</t>
  </si>
  <si>
    <t>LH4LABOR</t>
  </si>
  <si>
    <t>laborOnsetDate</t>
  </si>
  <si>
    <t>Date of labor onset</t>
  </si>
  <si>
    <t>labor_onset_date</t>
  </si>
  <si>
    <t>LH4LBDT</t>
  </si>
  <si>
    <t>laborOnsetTime</t>
  </si>
  <si>
    <t>Time of labor onset</t>
  </si>
  <si>
    <t>labor_onset_time</t>
  </si>
  <si>
    <t>LH4LBTM</t>
  </si>
  <si>
    <t>deliveryMode</t>
  </si>
  <si>
    <t>Final Mode of delivery</t>
  </si>
  <si>
    <t>delivery_mode</t>
  </si>
  <si>
    <t>LH4MODE</t>
  </si>
  <si>
    <t>OC4MODE</t>
  </si>
  <si>
    <t>fetalDecelerate</t>
  </si>
  <si>
    <t>Decelerations and/or loss of fetal heart tones?</t>
  </si>
  <si>
    <t>fetal_decelerate</t>
  </si>
  <si>
    <t>LH4DECEL</t>
  </si>
  <si>
    <t>OC4LOSS</t>
  </si>
  <si>
    <t>cordMishap</t>
  </si>
  <si>
    <t>Cord mishap?</t>
  </si>
  <si>
    <t>cord_mishap</t>
  </si>
  <si>
    <t>HEAL: compute from prolapsedCord and tightNuchalCord</t>
  </si>
  <si>
    <t>LH4CORD</t>
  </si>
  <si>
    <t>OC4CORD</t>
  </si>
  <si>
    <t>uterineRupture</t>
  </si>
  <si>
    <t>Uterine rupture?</t>
  </si>
  <si>
    <t>uterine_rupture</t>
  </si>
  <si>
    <t>LH4UTER</t>
  </si>
  <si>
    <t>OC4UTER</t>
  </si>
  <si>
    <t>shoulderDystocia</t>
  </si>
  <si>
    <t>Shoulder dystocia?</t>
  </si>
  <si>
    <t>shoulder_dystocia</t>
  </si>
  <si>
    <t>LH4SHOUL</t>
  </si>
  <si>
    <t>OC4DYST</t>
  </si>
  <si>
    <t>placentalProblem</t>
  </si>
  <si>
    <t>Placental problems? (abruptio placenta, placenta previa, placenta accreta)</t>
  </si>
  <si>
    <t>placental_problem</t>
  </si>
  <si>
    <t>LH4PLCPX</t>
  </si>
  <si>
    <t>OC4PLAC</t>
  </si>
  <si>
    <t>maternalHemorrhage</t>
  </si>
  <si>
    <t>Maternal hemorrhage?</t>
  </si>
  <si>
    <t>maternal_hemorrhage</t>
  </si>
  <si>
    <t>LH4MHEM</t>
  </si>
  <si>
    <t>OC4HEMO</t>
  </si>
  <si>
    <t>maternalTrauma</t>
  </si>
  <si>
    <t>Maternal trauma?</t>
  </si>
  <si>
    <t>maternal_trauma</t>
  </si>
  <si>
    <t>LH4MTRMA</t>
  </si>
  <si>
    <t>OC4TRAU</t>
  </si>
  <si>
    <t>maternalCardioRespiratoryArrest</t>
  </si>
  <si>
    <t>Maternal cardio-respiratory arrest?</t>
  </si>
  <si>
    <t>maternal_cardio_respiratory_arrest</t>
  </si>
  <si>
    <t>LH4MCARD</t>
  </si>
  <si>
    <t>OC4ARRE</t>
  </si>
  <si>
    <t>maternalSeizure</t>
  </si>
  <si>
    <t>Maternal seizures?</t>
  </si>
  <si>
    <t>maternal_seizure</t>
  </si>
  <si>
    <t>LH4MSEIZ</t>
  </si>
  <si>
    <t>OC4SEIZ</t>
  </si>
  <si>
    <t>pyrexiaOver37p6C</t>
  </si>
  <si>
    <t>Pyrexia &gt; 37.6?</t>
  </si>
  <si>
    <t>pyrexia_over37p6c</t>
  </si>
  <si>
    <t>LH4PYRX</t>
  </si>
  <si>
    <t>OC4PYRE</t>
  </si>
  <si>
    <t>chorioamnionitis</t>
  </si>
  <si>
    <t>Documented chorioamnionitis?</t>
  </si>
  <si>
    <t>LH4CHORI</t>
  </si>
  <si>
    <t>OC4CHOR</t>
  </si>
  <si>
    <t>placentalPathologyPerformed</t>
  </si>
  <si>
    <t>Was placental pathology performed?</t>
  </si>
  <si>
    <t>placental_pathology_performed</t>
  </si>
  <si>
    <t>LH4PPATH</t>
  </si>
  <si>
    <t>OC4PATH</t>
  </si>
  <si>
    <t>histologicChorioamionitis</t>
  </si>
  <si>
    <t>Was histologic chorioamnionitis documented?</t>
  </si>
  <si>
    <t>histologic_chorioamionitis</t>
  </si>
  <si>
    <t>LH4CHDOC</t>
  </si>
  <si>
    <t>OC4HIST</t>
  </si>
  <si>
    <t>laborAntibiotics</t>
  </si>
  <si>
    <t>Antibiotics for suspected/confirmed infection?</t>
  </si>
  <si>
    <t>labor_antibiotics</t>
  </si>
  <si>
    <t>LH4ANTI</t>
  </si>
  <si>
    <t>OC4ANTI</t>
  </si>
  <si>
    <t>laborAntibioticsCode1</t>
  </si>
  <si>
    <t>antibiotics</t>
  </si>
  <si>
    <t>Enter the antibiotic code-1</t>
  </si>
  <si>
    <t>labor_antibiotics_code1</t>
  </si>
  <si>
    <t>LH4ANTC1</t>
  </si>
  <si>
    <t>OC4ANT1</t>
  </si>
  <si>
    <t>laborAntibioticsCode2</t>
  </si>
  <si>
    <t>Enter the antibiotic code-2</t>
  </si>
  <si>
    <t>labor_antibiotics_code2</t>
  </si>
  <si>
    <t>LH4ANTC2</t>
  </si>
  <si>
    <t>OC4ANT2</t>
  </si>
  <si>
    <t>laborAntibioticsCode3</t>
  </si>
  <si>
    <t>Enter the antibiotic code-3</t>
  </si>
  <si>
    <t>labor_antibiotics_code3</t>
  </si>
  <si>
    <t>LH4ANTC3</t>
  </si>
  <si>
    <t>OC4ANT3</t>
  </si>
  <si>
    <t>laborAntibioticsCode4</t>
  </si>
  <si>
    <t>Enter the antibiotic code-4</t>
  </si>
  <si>
    <t>labor_antibiotics_code4</t>
  </si>
  <si>
    <t>OC4ANT4</t>
  </si>
  <si>
    <t>laborAntibioticsCode5</t>
  </si>
  <si>
    <t>Enter the antibiotic code-5</t>
  </si>
  <si>
    <t>labor_antibiotics_code5</t>
  </si>
  <si>
    <t>OC4ANT5</t>
  </si>
  <si>
    <t>laborAntibioticsCode6</t>
  </si>
  <si>
    <t>Enter the antibiotic code-6</t>
  </si>
  <si>
    <t>labor_antibiotics_code6</t>
  </si>
  <si>
    <t>OC4ANT6</t>
  </si>
  <si>
    <t>Birth</t>
  </si>
  <si>
    <t>encephalopathyLevel</t>
  </si>
  <si>
    <t>Level of encephalopathy</t>
  </si>
  <si>
    <t>encephalopathy_level</t>
  </si>
  <si>
    <t>LH2LEVEL</t>
  </si>
  <si>
    <t>OC2LEVEL</t>
  </si>
  <si>
    <t>randomInfantAge</t>
  </si>
  <si>
    <t>infantAge</t>
  </si>
  <si>
    <t>Age of Infant at Randomization</t>
  </si>
  <si>
    <t>random_infant_age</t>
  </si>
  <si>
    <t>LH2RAGE</t>
  </si>
  <si>
    <t>Date of Birth</t>
  </si>
  <si>
    <t>LH5BRTDT</t>
  </si>
  <si>
    <t>OC5BDAT</t>
  </si>
  <si>
    <t>birthTime</t>
  </si>
  <si>
    <t>Time of birth</t>
  </si>
  <si>
    <t>birth_time</t>
  </si>
  <si>
    <t>LH5BRTTM</t>
  </si>
  <si>
    <t>OC5BTIM</t>
  </si>
  <si>
    <t>birthWeight_g</t>
  </si>
  <si>
    <t>float</t>
  </si>
  <si>
    <t>Birth weight (gms)</t>
  </si>
  <si>
    <t>birth_weight_g</t>
  </si>
  <si>
    <t>LH5BTWGT</t>
  </si>
  <si>
    <t>OC5BWHGT</t>
  </si>
  <si>
    <t>birthLength_cm</t>
  </si>
  <si>
    <t>Length (cm)</t>
  </si>
  <si>
    <t>birth_length_cm</t>
  </si>
  <si>
    <t>LH5LGTH</t>
  </si>
  <si>
    <t>OC5BLGTH</t>
  </si>
  <si>
    <t>birthHeadCircumference_cm</t>
  </si>
  <si>
    <t>Head circumference (cm)</t>
  </si>
  <si>
    <t>birth_head_circumference_cm</t>
  </si>
  <si>
    <t>LH5HC</t>
  </si>
  <si>
    <t>OC5HCIRC</t>
  </si>
  <si>
    <t>birthGestationalAge_week</t>
  </si>
  <si>
    <t>Gestational age (completed weeks)</t>
  </si>
  <si>
    <t>birth_gestational_age_week</t>
  </si>
  <si>
    <t>LH5GAGE</t>
  </si>
  <si>
    <t>OC5GAGE</t>
  </si>
  <si>
    <t>infantSex</t>
  </si>
  <si>
    <t>Sex</t>
  </si>
  <si>
    <t>infant_sex</t>
  </si>
  <si>
    <t>LH5SEX</t>
  </si>
  <si>
    <t>OC5SEX</t>
  </si>
  <si>
    <t>infantOutborn</t>
  </si>
  <si>
    <t>WAS INFANT OUTBORN?</t>
  </si>
  <si>
    <t>infant_outborn</t>
  </si>
  <si>
    <t>HEAL: compute from birthPlace</t>
  </si>
  <si>
    <t>LH5OUTB</t>
  </si>
  <si>
    <t>OC5OBOR</t>
  </si>
  <si>
    <t>outbornInHospital</t>
  </si>
  <si>
    <t>outborn in a hospital setting?</t>
  </si>
  <si>
    <t>outborn_in_hospital</t>
  </si>
  <si>
    <t>LH5INHOS</t>
  </si>
  <si>
    <t>OC5HSET</t>
  </si>
  <si>
    <t>outbornOutHospital</t>
  </si>
  <si>
    <t>Out of hospital setting?</t>
  </si>
  <si>
    <t>outborn_out_hospital</t>
  </si>
  <si>
    <t>LH5OUHOS</t>
  </si>
  <si>
    <t>OC5OSET</t>
  </si>
  <si>
    <t>neonateAdmissionDate</t>
  </si>
  <si>
    <t>Neonate Admission Date</t>
  </si>
  <si>
    <t>neonate_admission_date</t>
  </si>
  <si>
    <t>LH5ADMDT</t>
  </si>
  <si>
    <t>OC5ADAT</t>
  </si>
  <si>
    <t>neonateAdmissionTime</t>
  </si>
  <si>
    <t>Neonate Admission Time:</t>
  </si>
  <si>
    <t>neonate_admission_time</t>
  </si>
  <si>
    <t>LH5ADMTM</t>
  </si>
  <si>
    <t>OC5ATIM</t>
  </si>
  <si>
    <t>Apgar1min</t>
  </si>
  <si>
    <t>APGAR SCORE: 1 minute</t>
  </si>
  <si>
    <t>apgar1min</t>
  </si>
  <si>
    <t>LH5AP1MN</t>
  </si>
  <si>
    <t>OC5AS1</t>
  </si>
  <si>
    <t>Apgar5min</t>
  </si>
  <si>
    <t>APGAR SCORE: 5 minute</t>
  </si>
  <si>
    <t>apgar5min</t>
  </si>
  <si>
    <t>LH5AP5MN</t>
  </si>
  <si>
    <t>OC5AS5</t>
  </si>
  <si>
    <t>Apgar10min</t>
  </si>
  <si>
    <t>APGAR SCORE: 10 minute</t>
  </si>
  <si>
    <t>apgar10min</t>
  </si>
  <si>
    <t>LH5A10MN</t>
  </si>
  <si>
    <t>OC5AS10</t>
  </si>
  <si>
    <t>Apgar15min</t>
  </si>
  <si>
    <t>APGAR SCORE: 15 minute</t>
  </si>
  <si>
    <t>apgar15min</t>
  </si>
  <si>
    <t>OC5AS15</t>
  </si>
  <si>
    <t>Apgar20min</t>
  </si>
  <si>
    <t>APGAR SCORE: 20 minute</t>
  </si>
  <si>
    <t>apgar20min</t>
  </si>
  <si>
    <t>LH5A20MN</t>
  </si>
  <si>
    <t>OC5AS20</t>
  </si>
  <si>
    <t>deliveryResuscitation</t>
  </si>
  <si>
    <t>RESUSCITATION AT DELIVERY</t>
  </si>
  <si>
    <t>delivery_resuscitation</t>
  </si>
  <si>
    <t>LH5DLRES</t>
  </si>
  <si>
    <t>deliveryOxygen</t>
  </si>
  <si>
    <t>At Delivery: Oxygen?</t>
  </si>
  <si>
    <t>delivery_oxygen</t>
  </si>
  <si>
    <t>LH5DLO2</t>
  </si>
  <si>
    <t>OC5OXY</t>
  </si>
  <si>
    <t>deliveryBaggingAndMask</t>
  </si>
  <si>
    <t>At Delivery: Bagging and mask?</t>
  </si>
  <si>
    <t>delivery_bagging_and_mask</t>
  </si>
  <si>
    <t>LH5DLBAG</t>
  </si>
  <si>
    <t>OC5BAG</t>
  </si>
  <si>
    <t>deliveryChestCompression</t>
  </si>
  <si>
    <t>At Delivery: Chest compression?</t>
  </si>
  <si>
    <t>delivery_chest_compression</t>
  </si>
  <si>
    <t>LH5DLCOM</t>
  </si>
  <si>
    <t>OC5COM</t>
  </si>
  <si>
    <t>deliveryIntubation</t>
  </si>
  <si>
    <t>At Delivery: Intubation?</t>
  </si>
  <si>
    <t>delivery_intubation</t>
  </si>
  <si>
    <t>LH5DLINT</t>
  </si>
  <si>
    <t>OC5INT</t>
  </si>
  <si>
    <t>deliveryDrug</t>
  </si>
  <si>
    <t>At Delivery: Drugs?</t>
  </si>
  <si>
    <t>delivery_drug</t>
  </si>
  <si>
    <t>LH5DLDRG</t>
  </si>
  <si>
    <t>OC5DRUG</t>
  </si>
  <si>
    <t>at10MinContinueResuscitation</t>
  </si>
  <si>
    <t>CONTINUED RESUSCITATION AT 10 MINS?</t>
  </si>
  <si>
    <t>at10min_continue_resuscitation</t>
  </si>
  <si>
    <t>LH510RES</t>
  </si>
  <si>
    <t>OC5CRS10</t>
  </si>
  <si>
    <t>at10MinOxygen</t>
  </si>
  <si>
    <t>At 10 mins: Oxygen?</t>
  </si>
  <si>
    <t>at10min_oxygen</t>
  </si>
  <si>
    <t>LH510O2</t>
  </si>
  <si>
    <t>OC5COXY</t>
  </si>
  <si>
    <t>at10MinBaggingAndMask</t>
  </si>
  <si>
    <t>At 10 mins: Bagging and mask?</t>
  </si>
  <si>
    <t>at10min_bagging_and_mask</t>
  </si>
  <si>
    <t>LH510BAG</t>
  </si>
  <si>
    <t>OC5CBAG</t>
  </si>
  <si>
    <t>at10MinChestCompression</t>
  </si>
  <si>
    <t>At 10 mins: Chest compression?</t>
  </si>
  <si>
    <t>at10min_chest_compression</t>
  </si>
  <si>
    <t>LH510COM</t>
  </si>
  <si>
    <t>OC5CCOM</t>
  </si>
  <si>
    <t>at10MinIntubation</t>
  </si>
  <si>
    <t>At 10 mins: Intubation?</t>
  </si>
  <si>
    <t>at10min_intubation</t>
  </si>
  <si>
    <t>LH510INT</t>
  </si>
  <si>
    <t>OC5CINT</t>
  </si>
  <si>
    <t>at10MinDrug</t>
  </si>
  <si>
    <t>At 10 mins: Drugs?</t>
  </si>
  <si>
    <t>at10min_drug</t>
  </si>
  <si>
    <t>LH510DRG</t>
  </si>
  <si>
    <t>OC5CDRUG</t>
  </si>
  <si>
    <t>spontaneousRespirationTime</t>
  </si>
  <si>
    <t>Time to spontaneous respiration</t>
  </si>
  <si>
    <t>spontaneous_respiration_time</t>
  </si>
  <si>
    <t>LH5SPRES</t>
  </si>
  <si>
    <t>OC5SPTIM</t>
  </si>
  <si>
    <t>cordBloodGas</t>
  </si>
  <si>
    <t>cord blood gas obtained?</t>
  </si>
  <si>
    <t>cord_blood_gas</t>
  </si>
  <si>
    <t>LH5CORD</t>
  </si>
  <si>
    <t>OC5TOBT</t>
  </si>
  <si>
    <t>cordBloodGasSrc</t>
  </si>
  <si>
    <t>cord blood gas source</t>
  </si>
  <si>
    <t>cord_blood_gas_src</t>
  </si>
  <si>
    <t>LH5CDSRC</t>
  </si>
  <si>
    <t>OC5CBSOR</t>
  </si>
  <si>
    <t>cordBloodGasPH</t>
  </si>
  <si>
    <t>cord blood gas pH</t>
  </si>
  <si>
    <t>cord_blood_gas_ph</t>
  </si>
  <si>
    <t>LH5CDPH</t>
  </si>
  <si>
    <t>OC5PH</t>
  </si>
  <si>
    <t>cordBloodGasPCO2_mmHg</t>
  </si>
  <si>
    <t>cord blood gas PCO2 (mmHg)</t>
  </si>
  <si>
    <t>cord_blood_gas_pco2mmhg</t>
  </si>
  <si>
    <t>LH5CDPCO</t>
  </si>
  <si>
    <t>OC5PC02</t>
  </si>
  <si>
    <t>cordBloodGasPO2_mmHg</t>
  </si>
  <si>
    <t>cord blood gas PO2 (mmHg)</t>
  </si>
  <si>
    <t>cord_blood_gas_po2mmhg</t>
  </si>
  <si>
    <t>LH5CDPO2</t>
  </si>
  <si>
    <t>OC5PO2</t>
  </si>
  <si>
    <t>cordBloodGasHCO3_mEqPerL</t>
  </si>
  <si>
    <t>cord blood gas HCO3 (mEq)</t>
  </si>
  <si>
    <t>cord_blood_gas_hco3meqperl</t>
  </si>
  <si>
    <t>LH5CDHCO</t>
  </si>
  <si>
    <t>OC5HC03</t>
  </si>
  <si>
    <t>cordBloodGasBaseDeficit_mEqPerL</t>
  </si>
  <si>
    <t>cord blood gas base deficit</t>
  </si>
  <si>
    <t>cord_blood_gas_base_deficit_meqperl</t>
  </si>
  <si>
    <t>LH5CDDEF</t>
  </si>
  <si>
    <t>OC5BASE</t>
  </si>
  <si>
    <t>firstPostnatalBloodGas</t>
  </si>
  <si>
    <t>first postnatal blood gas</t>
  </si>
  <si>
    <t>first_postnatal_blood_gas</t>
  </si>
  <si>
    <t>LH5POST</t>
  </si>
  <si>
    <t>OC5PBBO</t>
  </si>
  <si>
    <t>firstPostnatalBloodGasSrc</t>
  </si>
  <si>
    <t>bloodGasSrc</t>
  </si>
  <si>
    <t>first postnatal blood gas source</t>
  </si>
  <si>
    <t>first_postnatal_blood_gas_src</t>
  </si>
  <si>
    <t>LH5PSSRC</t>
  </si>
  <si>
    <t>OC5PNSOU</t>
  </si>
  <si>
    <t>firstPostnatalBloodGasDate</t>
  </si>
  <si>
    <t>first postnatal blood gas date</t>
  </si>
  <si>
    <t>first_postnatal_blood_gas_date</t>
  </si>
  <si>
    <t>LH5PSDT</t>
  </si>
  <si>
    <t>OC5PBGD</t>
  </si>
  <si>
    <t>firstPostnatalBloodGasTime</t>
  </si>
  <si>
    <t>first postnatal blood gas time</t>
  </si>
  <si>
    <t>first_postnatal_blood_gas_time</t>
  </si>
  <si>
    <t>LH5PSTM</t>
  </si>
  <si>
    <t>OC5PBGT</t>
  </si>
  <si>
    <t>firstPostnatalBloodGasPH</t>
  </si>
  <si>
    <t>first postnatal blood gas pH</t>
  </si>
  <si>
    <t>first_postnatal_blood_gas_ph</t>
  </si>
  <si>
    <t>LH5PSPH</t>
  </si>
  <si>
    <t>OC5PPH</t>
  </si>
  <si>
    <t>firstPostnatalBloodGasPCO2_mmHg</t>
  </si>
  <si>
    <t>first postnatal blood gas PCO2 (mmHg)</t>
  </si>
  <si>
    <t>first_postnatal_blood_gas_pco2mmhg</t>
  </si>
  <si>
    <t>LH5PSPCO</t>
  </si>
  <si>
    <t>OC5PPC02</t>
  </si>
  <si>
    <t>firstPostnatalBloodGasPO2_mmHg</t>
  </si>
  <si>
    <t>first postnatal blood gas PO2 (mmHg)</t>
  </si>
  <si>
    <t>first_postnatal_blood_gas_po2mmhg</t>
  </si>
  <si>
    <t>LH5PSPO2</t>
  </si>
  <si>
    <t>OC5PPO2</t>
  </si>
  <si>
    <t>firstPostnatalBloodGasHCO3_mEqPerL</t>
  </si>
  <si>
    <t>first postnatal blood gas HCO3 (mEq/L)</t>
  </si>
  <si>
    <t>first_postnatal_blood_gas_hco3meqperl</t>
  </si>
  <si>
    <t>LH5PSHCO</t>
  </si>
  <si>
    <t>OC5PHC03</t>
  </si>
  <si>
    <t>firstPostnatalBloodGasBaseDeficit_mEqPerL</t>
  </si>
  <si>
    <t>first postnatal blood gas base deficit</t>
  </si>
  <si>
    <t>first_postnatal_blood_gas_base_deficit_meqperl</t>
  </si>
  <si>
    <t>LH5PSDEF</t>
  </si>
  <si>
    <t>OC5PBASE</t>
  </si>
  <si>
    <t>Temperature</t>
  </si>
  <si>
    <t>targetTreatmentTemperature_C</t>
  </si>
  <si>
    <t>targetTreatmentTemperature</t>
  </si>
  <si>
    <t>Target Treatment Temperature for (120/72) hours</t>
  </si>
  <si>
    <t>target_treatment_temperature_c</t>
  </si>
  <si>
    <t>OC6TGTTP</t>
  </si>
  <si>
    <t>pre_CoolInitiate</t>
  </si>
  <si>
    <t>Cooling initiated prior to Randomization?</t>
  </si>
  <si>
    <t>pre_cool_initiate</t>
  </si>
  <si>
    <t>OC6CLPRD</t>
  </si>
  <si>
    <t>pre_CoolbyIceGelPack</t>
  </si>
  <si>
    <t>Cooled by ice/gel packs?</t>
  </si>
  <si>
    <t>pre_coolby_ice_gel_pack</t>
  </si>
  <si>
    <t>OC6CLICE</t>
  </si>
  <si>
    <t>pre_CoolPassively</t>
  </si>
  <si>
    <t>Cooled passively?</t>
  </si>
  <si>
    <t>pre_cool_passively</t>
  </si>
  <si>
    <t>OC6CLPAS</t>
  </si>
  <si>
    <t>pre_CoolClinically</t>
  </si>
  <si>
    <t>Cooled clinically?</t>
  </si>
  <si>
    <t>pre_cool_clinically</t>
  </si>
  <si>
    <t>OC6CLCLN</t>
  </si>
  <si>
    <t>pre_CoolInitiateDate</t>
  </si>
  <si>
    <t>Date cooling initiated</t>
  </si>
  <si>
    <t>pre_cool_initiate_date</t>
  </si>
  <si>
    <t>OC6CLDAT</t>
  </si>
  <si>
    <t>pre_CoolInitiateTime</t>
  </si>
  <si>
    <t>Time cooling initiated</t>
  </si>
  <si>
    <t>pre_cool_initiate_time</t>
  </si>
  <si>
    <t>OC6CLTIM</t>
  </si>
  <si>
    <t>pre_AfterOvershootReach33p5C</t>
  </si>
  <si>
    <t>33.5º reached after overshoot prior to Baseline?</t>
  </si>
  <si>
    <t>pre_after_overshoot_reach33p5c</t>
  </si>
  <si>
    <t>OC6TMPOV</t>
  </si>
  <si>
    <t>pre_AfterOvershootReach33p5CDate</t>
  </si>
  <si>
    <t>Date 33.5º reached after overshoot</t>
  </si>
  <si>
    <t>pre_after_overshoot_reach33p5c_date</t>
  </si>
  <si>
    <t>OC6TODAT</t>
  </si>
  <si>
    <t>pre_AfterOvershootReach33p5CTime</t>
  </si>
  <si>
    <t>Time 33.5º reached after overshoot</t>
  </si>
  <si>
    <t>pre_after_overshoot_reach33p5c_time</t>
  </si>
  <si>
    <t>OC6TOTIM</t>
  </si>
  <si>
    <t>pre_TemperatureMinDate</t>
  </si>
  <si>
    <t>Date of Min. temp prior to baseline</t>
  </si>
  <si>
    <t>pre_temperature_min_date</t>
  </si>
  <si>
    <t>LH: interval as 0</t>
  </si>
  <si>
    <t>OC6TPBDM</t>
  </si>
  <si>
    <t>pre_TemperatureMinTime</t>
  </si>
  <si>
    <t>Time of Min. temp prior to baseline</t>
  </si>
  <si>
    <t>pre_temperature_min_time</t>
  </si>
  <si>
    <t>OC6TPBTM</t>
  </si>
  <si>
    <t>pre_SkinTemperatureMin_C</t>
  </si>
  <si>
    <t>Min. skin temp prior to baseline</t>
  </si>
  <si>
    <t>pre_skin_temperature_min_c</t>
  </si>
  <si>
    <t>OC6TPBSM</t>
  </si>
  <si>
    <t>pre_AxillaryTemperatureMin_C</t>
  </si>
  <si>
    <t>Min. axillary temp prior to baseline</t>
  </si>
  <si>
    <t>pre_axillary_temperature_min_c</t>
  </si>
  <si>
    <t>OC6TPBAM</t>
  </si>
  <si>
    <t>pre_EsophagealTemperatureMin_C</t>
  </si>
  <si>
    <t>Min. esophageal temp prior to baseline</t>
  </si>
  <si>
    <t>pre_esophageal_temperature_min_c</t>
  </si>
  <si>
    <t>OC6TPBEM</t>
  </si>
  <si>
    <t>pre_ServoSetMin_C</t>
  </si>
  <si>
    <t>Min. servo set point prior to baseline</t>
  </si>
  <si>
    <t>pre_servo_set_min_c</t>
  </si>
  <si>
    <t>OC6TPBVM</t>
  </si>
  <si>
    <t>pre_TemperatureMaxDate</t>
  </si>
  <si>
    <t>Date of Max. temp prior to baseline</t>
  </si>
  <si>
    <t>pre_temperature_max_date</t>
  </si>
  <si>
    <t>LH: interval as 1</t>
  </si>
  <si>
    <t>OC6TPBDX</t>
  </si>
  <si>
    <t>pre_TemperatureMaxTime</t>
  </si>
  <si>
    <t>Time of Max. temp prior to baseline</t>
  </si>
  <si>
    <t>pre_temperature_max_time</t>
  </si>
  <si>
    <t>OC6TPBTX</t>
  </si>
  <si>
    <t>pre_SkinTemperatureMax_C</t>
  </si>
  <si>
    <t>Max. skin temp prior to baseline</t>
  </si>
  <si>
    <t>pre_skin_temperature_max_c</t>
  </si>
  <si>
    <t>OC6TPBSX</t>
  </si>
  <si>
    <t>pre_AxillaryTemperatureMax_C</t>
  </si>
  <si>
    <t>Max. axillary temp prior to baseline</t>
  </si>
  <si>
    <t>pre_axillary_temperature_max_c</t>
  </si>
  <si>
    <t>OC6TPBAX</t>
  </si>
  <si>
    <t>pre_EsophagealTemperatureMax_C</t>
  </si>
  <si>
    <t>Max. esophageal temp prior to baseline</t>
  </si>
  <si>
    <t>pre_esophageal_temperature_max_c</t>
  </si>
  <si>
    <t>OC6TPBEX</t>
  </si>
  <si>
    <t>pre_ServoSetMax_C</t>
  </si>
  <si>
    <t>Max. servo set point prior to baseline</t>
  </si>
  <si>
    <t>pre_servo_set_max_c</t>
  </si>
  <si>
    <t>OC6TPBVX</t>
  </si>
  <si>
    <t>Cardiovascular</t>
  </si>
  <si>
    <t>pre_CardioDate</t>
  </si>
  <si>
    <t>Cardio: Reading Date</t>
  </si>
  <si>
    <t>pre_cardio_date</t>
  </si>
  <si>
    <t>LH: interval as 0, OC: interval as 0</t>
  </si>
  <si>
    <t>pre_CardioTime</t>
  </si>
  <si>
    <t>Cardio: Reading Time</t>
  </si>
  <si>
    <t>pre_cardio_time</t>
  </si>
  <si>
    <t>pre_CardioSystolicBloodPressure_mmHg</t>
  </si>
  <si>
    <t>Cardio: Blood Pressure Systolic</t>
  </si>
  <si>
    <t>pre_cardio_systolic_blood_pressure_mmhg</t>
  </si>
  <si>
    <t>pre_CardioDiastolicBloodPressure_mmHg</t>
  </si>
  <si>
    <t>Cardio: Blood Pressure Diastolic</t>
  </si>
  <si>
    <t>pre_cardio_diastolic_blood_pressure_mmhg</t>
  </si>
  <si>
    <t>pre_CardioHeartRate_BPM</t>
  </si>
  <si>
    <t>Cardio: Heart Rate</t>
  </si>
  <si>
    <t>pre_cardio_heart_rate_bpm</t>
  </si>
  <si>
    <t>pre_CardioVolumeExpand</t>
  </si>
  <si>
    <t>Cardio: Volume Expand</t>
  </si>
  <si>
    <t>pre_cardio_volume_expand</t>
  </si>
  <si>
    <t>pre_CardioInotropicAgent</t>
  </si>
  <si>
    <t>Cardio: Inotropic Agent</t>
  </si>
  <si>
    <t>pre_cardio_inotropic_agent</t>
  </si>
  <si>
    <t>pre_CardioBloodTransfusion</t>
  </si>
  <si>
    <t>Cardio: Blood Transfusion</t>
  </si>
  <si>
    <t>pre_cardio_blood_transfusion</t>
  </si>
  <si>
    <t>pre_CardioPlatelets</t>
  </si>
  <si>
    <t>Cardio: Platelets</t>
  </si>
  <si>
    <t>pre_cardio_platelets</t>
  </si>
  <si>
    <t>Respiratory</t>
  </si>
  <si>
    <t>pre_RespiratoryDate</t>
  </si>
  <si>
    <t>Respiratory Readings: Date</t>
  </si>
  <si>
    <t>pre_respiratory_date</t>
  </si>
  <si>
    <t>OC: interval as 0</t>
  </si>
  <si>
    <t>pre_RespiratoryTime</t>
  </si>
  <si>
    <t>Respiratory Readings: Time</t>
  </si>
  <si>
    <t>pre_respiratory_time</t>
  </si>
  <si>
    <t>pre_RespiratorySupportType</t>
  </si>
  <si>
    <t>respiratorySupportType</t>
  </si>
  <si>
    <t>Respiratory Support Type</t>
  </si>
  <si>
    <t>pre_respiratory_support_type</t>
  </si>
  <si>
    <t>pre_RespiratoryFiO2</t>
  </si>
  <si>
    <t>FiO2</t>
  </si>
  <si>
    <t>pre_respiratory_fio2</t>
  </si>
  <si>
    <t>pre_RespiratoryRate_Hz</t>
  </si>
  <si>
    <t>Rate/Hz</t>
  </si>
  <si>
    <t>pre_respiratory_rate_hz</t>
  </si>
  <si>
    <t>pre_RespiratoryPIP_cmH2O</t>
  </si>
  <si>
    <t>PIP (peak inspiratory pressure) / [DELTA]P</t>
  </si>
  <si>
    <t>pre_respiratory_pip_cm_h2o</t>
  </si>
  <si>
    <t>pre_RespiratoryMAP_cmH2O</t>
  </si>
  <si>
    <t>MAP (mean air pressure)</t>
  </si>
  <si>
    <t>pre_respiratory_map_cm_h2o</t>
  </si>
  <si>
    <t>pre_RespiratoryPEEP_cmH2O</t>
  </si>
  <si>
    <t>PEEP (positive end-expiratory pressure)</t>
  </si>
  <si>
    <t>pre_respiratory_peep_cm_h2o</t>
  </si>
  <si>
    <t/>
  </si>
  <si>
    <t>Blood Gas</t>
  </si>
  <si>
    <t>pre_BloodGasDate</t>
  </si>
  <si>
    <t>date of blood gas</t>
  </si>
  <si>
    <t>pre_blood_gas_date</t>
  </si>
  <si>
    <t>pre_BloodGasTime</t>
  </si>
  <si>
    <t>time of blood gas</t>
  </si>
  <si>
    <t>pre_blood_gas_time</t>
  </si>
  <si>
    <t>pre_BloodGasSrc</t>
  </si>
  <si>
    <t>pre_blood_gas_src</t>
  </si>
  <si>
    <t>pre_BloodGasPH</t>
  </si>
  <si>
    <t>pH of blood gas</t>
  </si>
  <si>
    <t>pre_blood_gas_ph</t>
  </si>
  <si>
    <t>pre_BloodGasPCO2_mmHg</t>
  </si>
  <si>
    <t>PCO2 (mmHg) of blood gas</t>
  </si>
  <si>
    <t>pre_blood_gas_pco2_mmhg</t>
  </si>
  <si>
    <t>pre_BloodGasPO2_mmHg</t>
  </si>
  <si>
    <t>PO2 (mmHg) of blood gas</t>
  </si>
  <si>
    <t>pre_blood_gas_po2_mmhg</t>
  </si>
  <si>
    <t>pre_BloodGasHCO3_mEqPerL</t>
  </si>
  <si>
    <t>HCO3 (mEq/L) of blood gas</t>
  </si>
  <si>
    <t>pre_blood_gas_hco3_meqperl</t>
  </si>
  <si>
    <t>pre_BloodGasBaseDeficit_mEqPerL</t>
  </si>
  <si>
    <t>base deficit of blood gas</t>
  </si>
  <si>
    <t>pre_blood_gas_base_deficit_meqperl</t>
  </si>
  <si>
    <t>pre_BloodGasPHCorrect</t>
  </si>
  <si>
    <t>corrected pH of blood gas</t>
  </si>
  <si>
    <t>pre_blood_gas_ph_correct</t>
  </si>
  <si>
    <t>pre_BloodGasPCO2Correct_mmHg</t>
  </si>
  <si>
    <t>corrected PCO2 (mmHg) of blood gas</t>
  </si>
  <si>
    <t>pre_blood_gas_pco2correct_mmhg</t>
  </si>
  <si>
    <t>pre_BloodGasPO2Correct_mmHg</t>
  </si>
  <si>
    <t>corrected PO2 (mmHg) of blood gas</t>
  </si>
  <si>
    <t>pre_blood_gas_po2correct_mmhg</t>
  </si>
  <si>
    <t>pre_BloodGasHCO3Correct_mEqPerL</t>
  </si>
  <si>
    <t>corrected HCO3 (mEq/L) of blood gas</t>
  </si>
  <si>
    <t>pre_blood_gas_hco3correct_meqperl</t>
  </si>
  <si>
    <t>pre_BloodGasBaseDeficitCorrect_mEqPerL</t>
  </si>
  <si>
    <t>corrected base deficit of blood gas</t>
  </si>
  <si>
    <t>pre_blood_gas_base_deficit_correct_meqperl</t>
  </si>
  <si>
    <t>Hematology CBC</t>
  </si>
  <si>
    <t>pre_Hematology</t>
  </si>
  <si>
    <t>Were Hematologic Labs Performed?</t>
  </si>
  <si>
    <t>pre_hematology</t>
  </si>
  <si>
    <t>pre_HematologyDate</t>
  </si>
  <si>
    <t>date of hematology test</t>
  </si>
  <si>
    <t>pre_hematology_date</t>
  </si>
  <si>
    <t>pre_HematologyTime</t>
  </si>
  <si>
    <t>time of hematology test</t>
  </si>
  <si>
    <t>pre_hematology_time</t>
  </si>
  <si>
    <t>pre_HematologyWBC</t>
  </si>
  <si>
    <t>wbc</t>
  </si>
  <si>
    <t>pre_hematology_wbc</t>
  </si>
  <si>
    <t>pre_HematologyHemoglobin</t>
  </si>
  <si>
    <t>hemoglobin</t>
  </si>
  <si>
    <t>pre_hematology_hemoglobin</t>
  </si>
  <si>
    <t>pre_HematologyPolymorphNeutrophilsDifferentialCount</t>
  </si>
  <si>
    <t>differential count - polymorph / neutrophils</t>
  </si>
  <si>
    <t>pre_hematology_polymorph_neutrophils_differential_count</t>
  </si>
  <si>
    <t>pre_HematologyMonocytes</t>
  </si>
  <si>
    <t>monocytes</t>
  </si>
  <si>
    <t>pre_hematology_monocytes</t>
  </si>
  <si>
    <t>pre_HematologyLymphocytes</t>
  </si>
  <si>
    <t>lymphocytes</t>
  </si>
  <si>
    <t>pre_hematology_lymphocytes</t>
  </si>
  <si>
    <t>pre_HematologyPlateletCount</t>
  </si>
  <si>
    <t>platelet count</t>
  </si>
  <si>
    <t>pre_hematology_platelet_count</t>
  </si>
  <si>
    <t>pre_HematologyPT_s</t>
  </si>
  <si>
    <t>PT (Prothrombin time)</t>
  </si>
  <si>
    <t>pre_hematology_pt_s</t>
  </si>
  <si>
    <t>pre_HematologyPTT_s</t>
  </si>
  <si>
    <t>PTT (Partial thromboplastin time)</t>
  </si>
  <si>
    <t>pre_hematology_ptt_s</t>
  </si>
  <si>
    <t>Infection</t>
  </si>
  <si>
    <t>pre_PositiveCulture</t>
  </si>
  <si>
    <t>positive culture result prior to baseline?</t>
  </si>
  <si>
    <t>pre_positive_culture</t>
  </si>
  <si>
    <t>L6FPBRPB</t>
  </si>
  <si>
    <t>pre_PositiveCultureSrc</t>
  </si>
  <si>
    <t>positiveCultureSrc</t>
  </si>
  <si>
    <t>source of positive culture prior to baseline</t>
  </si>
  <si>
    <t>pre_positive_culture_src</t>
  </si>
  <si>
    <t>L6FPBSRC</t>
  </si>
  <si>
    <t>pre_PositiveCultureDate</t>
  </si>
  <si>
    <t>date of positive culture prior to baseline</t>
  </si>
  <si>
    <t>pre_positive_culture_date</t>
  </si>
  <si>
    <t>L6FPBDT</t>
  </si>
  <si>
    <t>pre_PositiveCultureTime</t>
  </si>
  <si>
    <t>time of positive culture prior to baseline</t>
  </si>
  <si>
    <t>pre_positive_culture_time</t>
  </si>
  <si>
    <t>L6FPBTM</t>
  </si>
  <si>
    <t>pre_PositiveCultureOrganismCode1</t>
  </si>
  <si>
    <t>positiveCultureOrganism</t>
  </si>
  <si>
    <t>organism code of positive culture prior to baseline</t>
  </si>
  <si>
    <t>pre_positive_culture_organism_code1</t>
  </si>
  <si>
    <t>L6FPBOC1</t>
  </si>
  <si>
    <t>pre_PositiveCultureOrganismCode2</t>
  </si>
  <si>
    <t>organism code-2 of positive culture prior to baseline</t>
  </si>
  <si>
    <t>pre_positive_culture_organism_code2</t>
  </si>
  <si>
    <t>L6FPBOC2</t>
  </si>
  <si>
    <t>pre_PositiveCultureOrganismCode3</t>
  </si>
  <si>
    <t>organism code-3 of positive culture prior to baseline</t>
  </si>
  <si>
    <t>pre_positive_culture_organism_code3</t>
  </si>
  <si>
    <t>L6FPBOC3</t>
  </si>
  <si>
    <t>pre_Antibiotics</t>
  </si>
  <si>
    <t>Antibiotic therapy prior to baseline</t>
  </si>
  <si>
    <t>pre_antibiotics</t>
  </si>
  <si>
    <t>L6FPBAB</t>
  </si>
  <si>
    <t>OC9ATPR</t>
  </si>
  <si>
    <t>pre_AntibioticsCode1</t>
  </si>
  <si>
    <t>antibiotic Prior to Baseline-Code 1</t>
  </si>
  <si>
    <t>pre_antibiotics_code1</t>
  </si>
  <si>
    <t>L6FPBAC1</t>
  </si>
  <si>
    <t>OC9ATBC1</t>
  </si>
  <si>
    <t>pre_AntibioticsCode2</t>
  </si>
  <si>
    <t>antibiotic Prior to Baseline-Code 2</t>
  </si>
  <si>
    <t>pre_antibiotics_code2</t>
  </si>
  <si>
    <t>L6FPBAC2</t>
  </si>
  <si>
    <t>OC9ATBC2</t>
  </si>
  <si>
    <t>pre_AntibioticsCode3</t>
  </si>
  <si>
    <t>antibiotic Prior to Baseline-Code 3</t>
  </si>
  <si>
    <t>pre_antibiotics_code3</t>
  </si>
  <si>
    <t>L6FPBAC3</t>
  </si>
  <si>
    <t>OC9ATBC3</t>
  </si>
  <si>
    <t>Other Medication</t>
  </si>
  <si>
    <t>pre_OtherMedTargetDate</t>
  </si>
  <si>
    <t>Other Meds: Target Date</t>
  </si>
  <si>
    <t>pre_other_med_target_date</t>
  </si>
  <si>
    <t>pre_OtherMedTargetTime</t>
  </si>
  <si>
    <t>Other Meds: Target Time</t>
  </si>
  <si>
    <t>pre_other_med_target_time</t>
  </si>
  <si>
    <t>pre_Anticonvulsants</t>
  </si>
  <si>
    <t>anticonvulsants</t>
  </si>
  <si>
    <t>Other Meds: Anti-Convulsants</t>
  </si>
  <si>
    <t>pre_anticonvulsants</t>
  </si>
  <si>
    <t>pre_Anticonvulsants1</t>
  </si>
  <si>
    <t>Medications: Anti-Convulsants #1</t>
  </si>
  <si>
    <t>pre_anticonvulsants1</t>
  </si>
  <si>
    <t>pre_Anticonvulsants2</t>
  </si>
  <si>
    <t>Medications: Anti-Convulsants #2</t>
  </si>
  <si>
    <t>pre_anticonvulsants2</t>
  </si>
  <si>
    <t>pre_Anticonvulsants3</t>
  </si>
  <si>
    <t>Medications Anti-Convulsants #3</t>
  </si>
  <si>
    <t>pre_anticonvulsants3</t>
  </si>
  <si>
    <t>pre_Analgesics</t>
  </si>
  <si>
    <t>analgesics</t>
  </si>
  <si>
    <t>Other Meds: Analgesics</t>
  </si>
  <si>
    <t>pre_analgesics</t>
  </si>
  <si>
    <t>pre_AnalgesicsSedatives1</t>
  </si>
  <si>
    <t>Medications: Analgesics/Sedatives #1</t>
  </si>
  <si>
    <t>pre_analgesics_sedatives1</t>
  </si>
  <si>
    <t>pre_AnalgesicsSedatives2</t>
  </si>
  <si>
    <t>Medications Analgesics/Sedatives #2</t>
  </si>
  <si>
    <t>pre_analgesics_sedatives2</t>
  </si>
  <si>
    <t>pre_AnalgesicsSedatives3</t>
  </si>
  <si>
    <t>Medications Analgesics/Sedatives #3</t>
  </si>
  <si>
    <t>pre_analgesics_sedatives3</t>
  </si>
  <si>
    <t>pre_Antipyretics</t>
  </si>
  <si>
    <t>antipyretics</t>
  </si>
  <si>
    <t>Other Meds: Antipyretics</t>
  </si>
  <si>
    <t>pre_antipyretics</t>
  </si>
  <si>
    <t>pre_Antipyretics1</t>
  </si>
  <si>
    <t>Medications: Antipyretics #1</t>
  </si>
  <si>
    <t>pre_antipyretics1</t>
  </si>
  <si>
    <t>pre_Antipyretics2</t>
  </si>
  <si>
    <t>Medications: Antipyretics #2</t>
  </si>
  <si>
    <t>pre_antipyretics2</t>
  </si>
  <si>
    <t>pre_Antipyretics3</t>
  </si>
  <si>
    <t>Medications Antipyretics #3</t>
  </si>
  <si>
    <t>pre_antipyretics3</t>
  </si>
  <si>
    <t>pre_Paralytics</t>
  </si>
  <si>
    <t>paralytics</t>
  </si>
  <si>
    <t>pre_paralytics</t>
  </si>
  <si>
    <t>pre_Paralytics1</t>
  </si>
  <si>
    <t>Medications: Paralytics #1</t>
  </si>
  <si>
    <t>pre_paralytics1</t>
  </si>
  <si>
    <t>pre_Paralytics2</t>
  </si>
  <si>
    <t>Medications Paralytics #2</t>
  </si>
  <si>
    <t>pre_paralytics2</t>
  </si>
  <si>
    <t>pre_Paralytics3</t>
  </si>
  <si>
    <t>Medications Paralytics #3</t>
  </si>
  <si>
    <t>pre_paralytics3</t>
  </si>
  <si>
    <t>pre_OtherMedFluidIntake_ccPerKg</t>
  </si>
  <si>
    <t>I/O: Fluid Intake</t>
  </si>
  <si>
    <t>pre_other_med_fluid_intake_cc_per_kg</t>
  </si>
  <si>
    <t>pre_OtherMedUrineOutput_ccPerKg</t>
  </si>
  <si>
    <t>I/O: Urine Output</t>
  </si>
  <si>
    <t>pre_other_med_urine_output_cc_per_kg</t>
  </si>
  <si>
    <t>Imaging</t>
  </si>
  <si>
    <t>pre_HeadSonogram</t>
  </si>
  <si>
    <t>head sonogram?</t>
  </si>
  <si>
    <t>pre_head_sonogram</t>
  </si>
  <si>
    <t>pre_HeadSonogramDate</t>
  </si>
  <si>
    <t>date of head sonogram</t>
  </si>
  <si>
    <t>pre_head_sonogram_date</t>
  </si>
  <si>
    <t>pre_HeadSonogramTime</t>
  </si>
  <si>
    <t>time of head sonogram</t>
  </si>
  <si>
    <t>pre_head_sonogram_time</t>
  </si>
  <si>
    <t>pre_HeadSonogramResult1</t>
  </si>
  <si>
    <t>imaging</t>
  </si>
  <si>
    <t>results of head sonogram - A</t>
  </si>
  <si>
    <t>pre_head_sonogram_result1</t>
  </si>
  <si>
    <t>pre_HeadSonogramResult2</t>
  </si>
  <si>
    <t>results of head sonogram - B</t>
  </si>
  <si>
    <t>pre_head_sonogram_result2</t>
  </si>
  <si>
    <t>pre_HeadSonogramResult3</t>
  </si>
  <si>
    <t>results of head sonogram - C</t>
  </si>
  <si>
    <t>pre_head_sonogram_result3</t>
  </si>
  <si>
    <t>pre_HeadSonogramResult4</t>
  </si>
  <si>
    <t>results of head sonogram - D</t>
  </si>
  <si>
    <t>pre_head_sonogram_result4</t>
  </si>
  <si>
    <t>pre_HeadSonogramResult5</t>
  </si>
  <si>
    <t>results of head sonogram - E</t>
  </si>
  <si>
    <t>pre_head_sonogram_result5</t>
  </si>
  <si>
    <t>pre_HeadSonogramResult6</t>
  </si>
  <si>
    <t>results of head sonogram - F</t>
  </si>
  <si>
    <t>pre_head_sonogram_result6</t>
  </si>
  <si>
    <t>pre_HeadSonogramResult7</t>
  </si>
  <si>
    <t>results of head sonogram - G</t>
  </si>
  <si>
    <t>pre_head_sonogram_result7</t>
  </si>
  <si>
    <t>pre_HeadSonogramResult8</t>
  </si>
  <si>
    <t>results of head sonogram - H</t>
  </si>
  <si>
    <t>pre_head_sonogram_result8</t>
  </si>
  <si>
    <t>pre_HeadSonogramResultText</t>
  </si>
  <si>
    <t>results of head sonogram - specify (other)</t>
  </si>
  <si>
    <t>pre_head_sonogram_result_text</t>
  </si>
  <si>
    <t>pre_HeadCT</t>
  </si>
  <si>
    <t>head CT?</t>
  </si>
  <si>
    <t>pre_head_ct</t>
  </si>
  <si>
    <t>pre_HeadCTDate</t>
  </si>
  <si>
    <t>date of head CT</t>
  </si>
  <si>
    <t>pre_head_ct_date</t>
  </si>
  <si>
    <t>pre_HeadCTTime</t>
  </si>
  <si>
    <t>time of head CT</t>
  </si>
  <si>
    <t>pre_head_ct_time</t>
  </si>
  <si>
    <t>pre_HeadCTResult1</t>
  </si>
  <si>
    <t>results of head CT - A</t>
  </si>
  <si>
    <t>pre_head_ct_result1</t>
  </si>
  <si>
    <t>pre_HeadCTResult2</t>
  </si>
  <si>
    <t>results of head CT - B</t>
  </si>
  <si>
    <t>pre_head_ct_result2</t>
  </si>
  <si>
    <t>pre_HeadCTResult3</t>
  </si>
  <si>
    <t>results of head CT - C</t>
  </si>
  <si>
    <t>pre_head_ct_result3</t>
  </si>
  <si>
    <t>pre_HeadCTResult4</t>
  </si>
  <si>
    <t>results of head CT - D</t>
  </si>
  <si>
    <t>pre_head_ct_result4</t>
  </si>
  <si>
    <t>pre_HeadCTResult5</t>
  </si>
  <si>
    <t>results of head CT - E</t>
  </si>
  <si>
    <t>pre_head_ct_result5</t>
  </si>
  <si>
    <t>pre_HeadCTResult6</t>
  </si>
  <si>
    <t>results of head CT - F</t>
  </si>
  <si>
    <t>pre_head_ct_result6</t>
  </si>
  <si>
    <t>pre_HeadCTResult7</t>
  </si>
  <si>
    <t>results of head CT - G</t>
  </si>
  <si>
    <t>pre_head_ct_result7</t>
  </si>
  <si>
    <t>pre_HeadCTResult8</t>
  </si>
  <si>
    <t>results of head CT - H</t>
  </si>
  <si>
    <t>pre_head_ct_result8</t>
  </si>
  <si>
    <t>pre_HeadCTResultText</t>
  </si>
  <si>
    <t>results of head CT - specify (other)</t>
  </si>
  <si>
    <t>pre_head_ct_result_text</t>
  </si>
  <si>
    <t>pre_BrainMRI</t>
  </si>
  <si>
    <t>brain MRI?</t>
  </si>
  <si>
    <t>pre_brain_mri</t>
  </si>
  <si>
    <t>pre_BrainMRIDate</t>
  </si>
  <si>
    <t>date of brain MRI</t>
  </si>
  <si>
    <t>pre_brain_mri_date</t>
  </si>
  <si>
    <t>pre_BrainMRITime</t>
  </si>
  <si>
    <t>time of brain MRI</t>
  </si>
  <si>
    <t>pre_brain_mri_time</t>
  </si>
  <si>
    <t>pre_BrainMRIResult1</t>
  </si>
  <si>
    <t>results of brain MRI - A</t>
  </si>
  <si>
    <t>pre_brain_mri_result1</t>
  </si>
  <si>
    <t>pre_BrainMRIResult2</t>
  </si>
  <si>
    <t>results of brain MRI - B</t>
  </si>
  <si>
    <t>pre_brain_mri_result2</t>
  </si>
  <si>
    <t>pre_BrainMRIResult3</t>
  </si>
  <si>
    <t>results of brain MRI - C</t>
  </si>
  <si>
    <t>pre_brain_mri_result3</t>
  </si>
  <si>
    <t>pre_BrainMRIResult4</t>
  </si>
  <si>
    <t>results of brain MRI - D</t>
  </si>
  <si>
    <t>pre_brain_mri_result4</t>
  </si>
  <si>
    <t>pre_BrainMRIResult5</t>
  </si>
  <si>
    <t>results of brain MRI - E</t>
  </si>
  <si>
    <t>pre_brain_mri_result5</t>
  </si>
  <si>
    <t>pre_BrainMRIResult6</t>
  </si>
  <si>
    <t>results of brain MRI - F</t>
  </si>
  <si>
    <t>pre_brain_mri_result6</t>
  </si>
  <si>
    <t>pre_BrainMRIResult7</t>
  </si>
  <si>
    <t>results of brain MRI - G</t>
  </si>
  <si>
    <t>pre_brain_mri_result7</t>
  </si>
  <si>
    <t>pre_BrainMRIResult8</t>
  </si>
  <si>
    <t>results of brain MRI - H</t>
  </si>
  <si>
    <t>pre_brain_mri_result8</t>
  </si>
  <si>
    <t>pre_BrainMRIResultText</t>
  </si>
  <si>
    <t>results of brain MRI - specify (other)</t>
  </si>
  <si>
    <t>pre_brain_mri_result_text</t>
  </si>
  <si>
    <t>Neuro Exam</t>
  </si>
  <si>
    <t>pre_NeuroExam</t>
  </si>
  <si>
    <t>Screening Neuro Exam Done?</t>
  </si>
  <si>
    <t>pre_neuro_exam</t>
  </si>
  <si>
    <t>LH2NEXDN</t>
  </si>
  <si>
    <t>OC2NEXDN</t>
  </si>
  <si>
    <t>pre_NoNeuroExamReason</t>
  </si>
  <si>
    <t>noNeuroExamReason</t>
  </si>
  <si>
    <t>Reason Screening Neuro Exam Not Done</t>
  </si>
  <si>
    <t>pre_no_neuro_exam_reason</t>
  </si>
  <si>
    <t>LH2NENDR</t>
  </si>
  <si>
    <t>OC2NENDR</t>
  </si>
  <si>
    <t>pre_NeuroExamSignModerateSevereHIE3Category</t>
  </si>
  <si>
    <t>Signs of mod or severe HIE in 3 of 6 categories?</t>
  </si>
  <si>
    <t>pre_neuro_exam_sign_moderate_severe_hie3category</t>
  </si>
  <si>
    <t>LH2SIGN</t>
  </si>
  <si>
    <t>OC2SIGN</t>
  </si>
  <si>
    <t>pre_NeuroExamLevelConsciousness</t>
  </si>
  <si>
    <t>signOfHIELvlOfCons</t>
  </si>
  <si>
    <t>Screening Neuro Exam: Level of Consciousness</t>
  </si>
  <si>
    <t>pre_neuro_exam_level_consciousness</t>
  </si>
  <si>
    <t>LH2CON</t>
  </si>
  <si>
    <t>OC2CON</t>
  </si>
  <si>
    <t>pre_NeuroExamSpontaneousActivity</t>
  </si>
  <si>
    <t>signOfHIESpontaneousActivity</t>
  </si>
  <si>
    <t>Screening Neuro Exam: Spontaneous Activity</t>
  </si>
  <si>
    <t>pre_neuro_exam_spontaneous_activity</t>
  </si>
  <si>
    <t>LH2SPON</t>
  </si>
  <si>
    <t>OC2SPON</t>
  </si>
  <si>
    <t>pre_NeuroExamPosture</t>
  </si>
  <si>
    <t>signOfHIEPosture</t>
  </si>
  <si>
    <t>Screening Neuro Exam: Posture</t>
  </si>
  <si>
    <t>pre_neuro_exam_posture</t>
  </si>
  <si>
    <t>LH2POST</t>
  </si>
  <si>
    <t>OC2POST</t>
  </si>
  <si>
    <t>pre_NeuroExamTone</t>
  </si>
  <si>
    <t>signOfHIETone</t>
  </si>
  <si>
    <t>Screening Neuro Exam: Tone</t>
  </si>
  <si>
    <t>pre_neuro_exam_tone</t>
  </si>
  <si>
    <t>LH2TONE</t>
  </si>
  <si>
    <t>OC2TONE</t>
  </si>
  <si>
    <t>pre_NeuroExamSuck</t>
  </si>
  <si>
    <t>signOfHIESuck</t>
  </si>
  <si>
    <t>Screening Neuro Exam: Suck</t>
  </si>
  <si>
    <t>pre_neuro_exam_suck</t>
  </si>
  <si>
    <t>LH2SUCK</t>
  </si>
  <si>
    <t>OC2SUCK</t>
  </si>
  <si>
    <t>pre_NeuroExamMoro</t>
  </si>
  <si>
    <t>signOfHIEMoro</t>
  </si>
  <si>
    <t>Screening Neuro Exam: Moro</t>
  </si>
  <si>
    <t>pre_neuro_exam_moro</t>
  </si>
  <si>
    <t>LH2MORO</t>
  </si>
  <si>
    <t>OC2MORO</t>
  </si>
  <si>
    <t>pre_NeuroExamPupils</t>
  </si>
  <si>
    <t>signOfHIEPupils</t>
  </si>
  <si>
    <t>Screening Neuro Exam: Pupils</t>
  </si>
  <si>
    <t>pre_neuro_exam_pupils</t>
  </si>
  <si>
    <t>LH2PUPL</t>
  </si>
  <si>
    <t>OC2PUPL</t>
  </si>
  <si>
    <t>pre_NeuroExamHeartRate</t>
  </si>
  <si>
    <t>signOfHIEHeartRate</t>
  </si>
  <si>
    <t>Screening Neuro Exam: Heart Rate</t>
  </si>
  <si>
    <t>pre_neuro_exam_heart_rate</t>
  </si>
  <si>
    <t>LH2HR</t>
  </si>
  <si>
    <t>OC2HR</t>
  </si>
  <si>
    <t>pre_NeuroExamRespiration</t>
  </si>
  <si>
    <t>signOfHIERespiratory</t>
  </si>
  <si>
    <t>Screening Neuro Exam: Respiration</t>
  </si>
  <si>
    <t>pre_neuro_exam_respiration</t>
  </si>
  <si>
    <t>LH2RESP</t>
  </si>
  <si>
    <t>OC2RESP</t>
  </si>
  <si>
    <t>pre_NeuroExamDate</t>
  </si>
  <si>
    <t>Date of Screening Neuro Exam</t>
  </si>
  <si>
    <t>pre_neuro_exam_date</t>
  </si>
  <si>
    <t>LH2NEDAT</t>
  </si>
  <si>
    <t>OC2NDAT</t>
  </si>
  <si>
    <t>pre_NeuroExamTime</t>
  </si>
  <si>
    <t>Time of Screening Neuro Exam</t>
  </si>
  <si>
    <t>pre_neuro_exam_time</t>
  </si>
  <si>
    <t>LH2NETIM</t>
  </si>
  <si>
    <t>OC2NTIM</t>
  </si>
  <si>
    <t>pre_NeuroExamSedate</t>
  </si>
  <si>
    <t>Was infant sedated?</t>
  </si>
  <si>
    <t>pre_neuro_exam_sedate</t>
  </si>
  <si>
    <t>LH2SEDA</t>
  </si>
  <si>
    <t>OC2SEDA</t>
  </si>
  <si>
    <t>pre_NeuroExamSeizure</t>
  </si>
  <si>
    <t>Seizures?</t>
  </si>
  <si>
    <t>pre_neuro_exam_seizure</t>
  </si>
  <si>
    <t>LH2SEIZ</t>
  </si>
  <si>
    <t>OC2SEIZ</t>
  </si>
  <si>
    <t>Intervention</t>
  </si>
  <si>
    <t>temperatureTimeSlot</t>
  </si>
  <si>
    <t>Temperature Time Point Recording Interval ID</t>
  </si>
  <si>
    <t>temperature_time_slot</t>
  </si>
  <si>
    <t>L6ATMPRD</t>
  </si>
  <si>
    <t>OC6TINTV</t>
  </si>
  <si>
    <t>temperatureTimeSlotNoForm</t>
  </si>
  <si>
    <t>Temperature Time Point Interval-Not on Form</t>
  </si>
  <si>
    <t>temperature_time_slot_no_form</t>
  </si>
  <si>
    <t>OC6TINT</t>
  </si>
  <si>
    <t>temperatureDate</t>
  </si>
  <si>
    <t>Date of temperature recording: During Treatment</t>
  </si>
  <si>
    <t>temperature_date</t>
  </si>
  <si>
    <t>L6ARDDT</t>
  </si>
  <si>
    <t>OC6TTPDT</t>
  </si>
  <si>
    <t>temperatureTime</t>
  </si>
  <si>
    <t>Time of temperature recording: During Treatment</t>
  </si>
  <si>
    <t>temperature_time</t>
  </si>
  <si>
    <t>L6ARDTM</t>
  </si>
  <si>
    <t>OC6TTPTM</t>
  </si>
  <si>
    <t>skinTemperature_C</t>
  </si>
  <si>
    <t>Skin temperature recording: During Treatment</t>
  </si>
  <si>
    <t>skin_temperature_c</t>
  </si>
  <si>
    <t>L6ASKINT</t>
  </si>
  <si>
    <t>OC6TSKNT</t>
  </si>
  <si>
    <t>axillaryTemperature_C</t>
  </si>
  <si>
    <t>Axillary temperature recording: During Treatment</t>
  </si>
  <si>
    <t>axillary_temperature_c</t>
  </si>
  <si>
    <t>L6AAXILT</t>
  </si>
  <si>
    <t>OC6TAXIT</t>
  </si>
  <si>
    <t>esophagealTemperature_C</t>
  </si>
  <si>
    <t>Esophageal temperature recording: During Treatment</t>
  </si>
  <si>
    <t>esophageal_temperature_c</t>
  </si>
  <si>
    <t>L6AESPHT</t>
  </si>
  <si>
    <t>OC6TESOT</t>
  </si>
  <si>
    <t>blanketTemperature_C</t>
  </si>
  <si>
    <t>Blanket temperature recording: During Treatment</t>
  </si>
  <si>
    <t>blanket_temperature_c</t>
  </si>
  <si>
    <t>L6ABLNKT</t>
  </si>
  <si>
    <t>OC6TBLKT</t>
  </si>
  <si>
    <t>servoSetTemperature_C</t>
  </si>
  <si>
    <t>Servo set point temperature recording: During Treatment</t>
  </si>
  <si>
    <t>servo_set_temperature_c</t>
  </si>
  <si>
    <t>L6ASVOSP</t>
  </si>
  <si>
    <t>OC6TSSPT</t>
  </si>
  <si>
    <t>alterationSkinIntegrity</t>
  </si>
  <si>
    <t>Alteration Skin Integrity? recording: During Treatment</t>
  </si>
  <si>
    <t>alteration_skin_integrity</t>
  </si>
  <si>
    <t>OC6TASI</t>
  </si>
  <si>
    <t>shiver</t>
  </si>
  <si>
    <t>Shivering? recording: During Treatment</t>
  </si>
  <si>
    <t>OC6TSHIV</t>
  </si>
  <si>
    <t>cardioTimeSlot</t>
  </si>
  <si>
    <t>Cardio: Reading Interval ID</t>
  </si>
  <si>
    <t>cardio_time_slot</t>
  </si>
  <si>
    <t>LH6CVINT</t>
  </si>
  <si>
    <t>OC7INTV</t>
  </si>
  <si>
    <t>cardioDate</t>
  </si>
  <si>
    <t>cardio_date</t>
  </si>
  <si>
    <t>LH6CVRDT</t>
  </si>
  <si>
    <t>OC7CVDT</t>
  </si>
  <si>
    <t>cardioTime</t>
  </si>
  <si>
    <t>cardio_time</t>
  </si>
  <si>
    <t>LH6CVRTM</t>
  </si>
  <si>
    <t>OC7CVTM</t>
  </si>
  <si>
    <t>cardioSystolicBloodPressure_mmHg</t>
  </si>
  <si>
    <t>cardio_systolic_blood_pressure_mmhg</t>
  </si>
  <si>
    <t>LH6CVBPS</t>
  </si>
  <si>
    <t>OC7CBPS</t>
  </si>
  <si>
    <t>cardioDiastolicBloodPressure_mmHg</t>
  </si>
  <si>
    <t>cardio_diastolic_blood_pressure_mmhg</t>
  </si>
  <si>
    <t>LH6CVBPD</t>
  </si>
  <si>
    <t>OC7CBPD</t>
  </si>
  <si>
    <t>cardioHeartRate_BPM</t>
  </si>
  <si>
    <t>cardio_heart_rate_bpm</t>
  </si>
  <si>
    <t>LH6CVHR</t>
  </si>
  <si>
    <t>OC7CVHR</t>
  </si>
  <si>
    <t>cardioVolumeExpand</t>
  </si>
  <si>
    <t>cardio_volume_expand</t>
  </si>
  <si>
    <t>LH6CVVE</t>
  </si>
  <si>
    <t>OC7CVVE</t>
  </si>
  <si>
    <t>cardioInotropicAgent</t>
  </si>
  <si>
    <t>cardio_inotropic_agent</t>
  </si>
  <si>
    <t>LH6CVIA</t>
  </si>
  <si>
    <t>OC7CVIA</t>
  </si>
  <si>
    <t>cardioBloodTransfusion</t>
  </si>
  <si>
    <t>cardio_blood_transfusion</t>
  </si>
  <si>
    <t>LH6CVBT</t>
  </si>
  <si>
    <t>OC7CVBT</t>
  </si>
  <si>
    <t>cardioPlatelets</t>
  </si>
  <si>
    <t>cardio_platelets</t>
  </si>
  <si>
    <t>LH6CVPLT</t>
  </si>
  <si>
    <t>OC7CPLT</t>
  </si>
  <si>
    <t>respiratoryTimeSlot</t>
  </si>
  <si>
    <t>Respiratory Readings Interval-ID</t>
  </si>
  <si>
    <t>respiratory_time_slot</t>
  </si>
  <si>
    <t>LH6RSINT</t>
  </si>
  <si>
    <t>OC8INTV</t>
  </si>
  <si>
    <t>respiratoryDate</t>
  </si>
  <si>
    <t>respiratory_date</t>
  </si>
  <si>
    <t>LH6RSRDT</t>
  </si>
  <si>
    <t>OC8RSRDT</t>
  </si>
  <si>
    <t>respiratoryTime</t>
  </si>
  <si>
    <t>respiratory_time</t>
  </si>
  <si>
    <t>LH6RSRTM</t>
  </si>
  <si>
    <t>OC8RSRTM</t>
  </si>
  <si>
    <t>respiratory_support_type</t>
  </si>
  <si>
    <t>LH6RSSPT</t>
  </si>
  <si>
    <t>OC8RSSPT</t>
  </si>
  <si>
    <t>respiratoryFiO2</t>
  </si>
  <si>
    <t>FiO2 (min: 0, max: 1)</t>
  </si>
  <si>
    <t>respiratory_fio2</t>
  </si>
  <si>
    <t>LH6RSFIO</t>
  </si>
  <si>
    <t>OC8RSFIO</t>
  </si>
  <si>
    <t>respiratoryRate_Hz</t>
  </si>
  <si>
    <t>respiratory_rate_hz</t>
  </si>
  <si>
    <t>LH6RSRHZ</t>
  </si>
  <si>
    <t>OC8RSRHZ</t>
  </si>
  <si>
    <t>respiratoryPIP_cmH2O</t>
  </si>
  <si>
    <t>respiratory_pip_cmh2o</t>
  </si>
  <si>
    <t>LH6RSPDP</t>
  </si>
  <si>
    <t>OC8RSPDP</t>
  </si>
  <si>
    <t>respiratoryMAP_cmH2O</t>
  </si>
  <si>
    <t>respiratory_map_cmh2o</t>
  </si>
  <si>
    <t>LH6RSMAP</t>
  </si>
  <si>
    <t>OC8RSMAP</t>
  </si>
  <si>
    <t>respiratoryPEEP_cmH2O</t>
  </si>
  <si>
    <t>respiratory_peep_cmh2o</t>
  </si>
  <si>
    <t>LH6RSPEP</t>
  </si>
  <si>
    <t>OC8RSPEP</t>
  </si>
  <si>
    <t>bloodGasTimeSlot</t>
  </si>
  <si>
    <t>blood gas measurement interval-id</t>
  </si>
  <si>
    <t>blood_gas_time_slot</t>
  </si>
  <si>
    <t>LH6BGINT</t>
  </si>
  <si>
    <t>bloodGasDate</t>
  </si>
  <si>
    <t>blood_gas_date</t>
  </si>
  <si>
    <t>LH6BGDT</t>
  </si>
  <si>
    <t>OC7BGDT</t>
  </si>
  <si>
    <t>bloodGasTime</t>
  </si>
  <si>
    <t>blood_gas_time</t>
  </si>
  <si>
    <t>LH6BGTM</t>
  </si>
  <si>
    <t>OC7BGTM</t>
  </si>
  <si>
    <t>blood_gas_src</t>
  </si>
  <si>
    <t>OC7BGSRC</t>
  </si>
  <si>
    <t>bloodGasPH</t>
  </si>
  <si>
    <t>blood_gas_ph</t>
  </si>
  <si>
    <t>LH6BGPH</t>
  </si>
  <si>
    <t>OC7BGPH</t>
  </si>
  <si>
    <t>bloodGasPCO2_mmHg</t>
  </si>
  <si>
    <t>blood_gas_pco2_mmhg</t>
  </si>
  <si>
    <t>LH6BGPCO</t>
  </si>
  <si>
    <t>OC7BPCO</t>
  </si>
  <si>
    <t>bloodGasPO2_mmHg</t>
  </si>
  <si>
    <t>blood_gas_po2_mmhg</t>
  </si>
  <si>
    <t>LH6BGPO2</t>
  </si>
  <si>
    <t>OC7BPO2</t>
  </si>
  <si>
    <t>bloodGasHCO3_mEqPerL</t>
  </si>
  <si>
    <t>blood_gas_hco3_meqperl</t>
  </si>
  <si>
    <t>LH6BGHCO</t>
  </si>
  <si>
    <t>OC7BHCO</t>
  </si>
  <si>
    <t>bloodGasBaseDeficit_mEqPerL</t>
  </si>
  <si>
    <t>blood_gas_base_deficit_meqperl</t>
  </si>
  <si>
    <t>LH6BGBD</t>
  </si>
  <si>
    <t>OC7BGBD</t>
  </si>
  <si>
    <t>bloodGasPHCorrect</t>
  </si>
  <si>
    <t>blood_gas_ph_correct</t>
  </si>
  <si>
    <t>OC7BCPH</t>
  </si>
  <si>
    <t>bloodGasPCO2Correct_mmHg</t>
  </si>
  <si>
    <t>blood_gas_pco2correct_mmhg</t>
  </si>
  <si>
    <t>OC7BCPCO</t>
  </si>
  <si>
    <t>bloodGasPO2Correct_mmHg</t>
  </si>
  <si>
    <t>blood_gas_po2correct_mmhg</t>
  </si>
  <si>
    <t>OC7BCPO2</t>
  </si>
  <si>
    <t>bloodGasHCO3Correct_mEqPerL</t>
  </si>
  <si>
    <t>blood_gas_hco3correct_meqperl</t>
  </si>
  <si>
    <t>OC7BCHCO</t>
  </si>
  <si>
    <t>bloodGasBaseDeficitCorrect_mEqPerL</t>
  </si>
  <si>
    <t>blood_gas_base_deficit_correct_meqperl</t>
  </si>
  <si>
    <t>OC7BCBD</t>
  </si>
  <si>
    <t>hematology</t>
  </si>
  <si>
    <t>OC8HELAB</t>
  </si>
  <si>
    <t>hematologyTimeSlot</t>
  </si>
  <si>
    <t>hemotology interval-ID</t>
  </si>
  <si>
    <t>hematology_time_slot</t>
  </si>
  <si>
    <t>LH6HEINT</t>
  </si>
  <si>
    <t>hematologyDate</t>
  </si>
  <si>
    <t>hematology_date</t>
  </si>
  <si>
    <t>LH6HERDT</t>
  </si>
  <si>
    <t>hematologyTime</t>
  </si>
  <si>
    <t>hematology_time</t>
  </si>
  <si>
    <t>LH6HERTM</t>
  </si>
  <si>
    <t>hematologyWBC</t>
  </si>
  <si>
    <t>hematology_wbc</t>
  </si>
  <si>
    <t>LH6HEWBC</t>
  </si>
  <si>
    <t>OC8HEWBC</t>
  </si>
  <si>
    <t>hematologyHemoglobin</t>
  </si>
  <si>
    <t>hematology_hemoglobin</t>
  </si>
  <si>
    <t>LH6HEHGB</t>
  </si>
  <si>
    <t>OC8HEHGB</t>
  </si>
  <si>
    <t>hematologyPolymorphNeutrophilsDifferentialCount</t>
  </si>
  <si>
    <t>hematology_polymorph_neutrophils_differential_count</t>
  </si>
  <si>
    <t>LH6HEDCP</t>
  </si>
  <si>
    <t>OC8HEDCP</t>
  </si>
  <si>
    <t>hematologyMonocytes</t>
  </si>
  <si>
    <t>hematology_monocytes</t>
  </si>
  <si>
    <t>LH6HEDCM</t>
  </si>
  <si>
    <t>OC8HEDCM</t>
  </si>
  <si>
    <t>hematologyLymphocytes</t>
  </si>
  <si>
    <t>hematology_lymphocytes</t>
  </si>
  <si>
    <t>LH6HEDCL</t>
  </si>
  <si>
    <t>OC8HEDCL</t>
  </si>
  <si>
    <t>hematologyPlateletCount</t>
  </si>
  <si>
    <t>hematology_platelet_count</t>
  </si>
  <si>
    <t>LH6HEPCT</t>
  </si>
  <si>
    <t>OC8HEPCT</t>
  </si>
  <si>
    <t>hematologyPT_s</t>
  </si>
  <si>
    <t>hematology_pts</t>
  </si>
  <si>
    <t>LH6HEPT</t>
  </si>
  <si>
    <t>OC8HEPT</t>
  </si>
  <si>
    <t>hematologyPTT_s</t>
  </si>
  <si>
    <t>hematology_ptts</t>
  </si>
  <si>
    <t>LH6HEPTT</t>
  </si>
  <si>
    <t>OC8HEPTT</t>
  </si>
  <si>
    <t>hematologyHematocritMin</t>
  </si>
  <si>
    <t>minimum hematocrit</t>
  </si>
  <si>
    <t>hematology_hematocrit_min</t>
  </si>
  <si>
    <t>L6HMNHCT</t>
  </si>
  <si>
    <t>OC9HMMN</t>
  </si>
  <si>
    <t>hematologyHematocritMinDate</t>
  </si>
  <si>
    <t>date of minimum hematocrit</t>
  </si>
  <si>
    <t>hematology_hematocrit_min_date</t>
  </si>
  <si>
    <t>OC9HMDA</t>
  </si>
  <si>
    <t>hematologyPlateletCountMin</t>
  </si>
  <si>
    <t>minimum platelet count</t>
  </si>
  <si>
    <t>hematology_platelet_count_min</t>
  </si>
  <si>
    <t>L6HMNPLC</t>
  </si>
  <si>
    <t>OC9PCMN</t>
  </si>
  <si>
    <t>hematologyPlateletCountMinDate</t>
  </si>
  <si>
    <t>date of minimum platelet count</t>
  </si>
  <si>
    <t>hematology_platelet_count_min_date</t>
  </si>
  <si>
    <t>OC9PCDA</t>
  </si>
  <si>
    <t>Blood Value</t>
  </si>
  <si>
    <t>bloodValueBunBaseline_mgPerdL</t>
  </si>
  <si>
    <t>baseline bun (mg/dL)</t>
  </si>
  <si>
    <t>blood_value_bun_baseline_mgperdl</t>
  </si>
  <si>
    <t>OC9BNBL</t>
  </si>
  <si>
    <t>bloodValueBunBaseline_mgPerdLDate</t>
  </si>
  <si>
    <t>date of baseline bun</t>
  </si>
  <si>
    <t>blood_value_bun_baseline_mgperdl_date</t>
  </si>
  <si>
    <t>OC9BNDAT</t>
  </si>
  <si>
    <t>bloodValueCreatinineBaseline_mgPerdL</t>
  </si>
  <si>
    <t>baseline creatinine (mg/dL)</t>
  </si>
  <si>
    <t>blood_value_creatinine_baseline_mgperdl</t>
  </si>
  <si>
    <t>OC9CRBL</t>
  </si>
  <si>
    <t>bloodValueCreatinineBaseline_mgPerdLDate</t>
  </si>
  <si>
    <t>date of baseline creatinine</t>
  </si>
  <si>
    <t>blood_value_creatinine_baseline_mgperdl_date</t>
  </si>
  <si>
    <t>OC9CRDAT</t>
  </si>
  <si>
    <t>bloodValueASTSGOTBaseline_UPerL</t>
  </si>
  <si>
    <t>baseline AST/SGOT (U/L)</t>
  </si>
  <si>
    <t>blood_value_ast_sgot_baseline_uperl</t>
  </si>
  <si>
    <t>OC9ASBL</t>
  </si>
  <si>
    <t>bloodValueASTSGOTBaseline_UPerLDate</t>
  </si>
  <si>
    <t>date of baseline AST/SGOT</t>
  </si>
  <si>
    <t>blood_value_ast_sgot_baseline_uperl_date</t>
  </si>
  <si>
    <t>OC9ASDAT</t>
  </si>
  <si>
    <t>bloodValueALTSGPTBaseline_UPerL</t>
  </si>
  <si>
    <t>baseline ALT/SGPT (U/L)</t>
  </si>
  <si>
    <t>blood_value_alt_sgpt_baseline_uperl</t>
  </si>
  <si>
    <t>OC9ALBL</t>
  </si>
  <si>
    <t>bloodValueALTSGPTBaseline_UPerLDate</t>
  </si>
  <si>
    <t>date of baseline ALT/SGPT</t>
  </si>
  <si>
    <t>blood_value_alt_sgpt_baseline_uperl_date</t>
  </si>
  <si>
    <t>OC9ALDAT</t>
  </si>
  <si>
    <t>bloodValueTotalBilirubinBaseline_mgPerdL</t>
  </si>
  <si>
    <t>baseline total Bilirubin (mg/dL)</t>
  </si>
  <si>
    <t>blood_value_total_bilirubin_baseline_mgperdl</t>
  </si>
  <si>
    <t>OC9TBBL</t>
  </si>
  <si>
    <t>bloodValueTotalBilirubinBaseline_mgPerdLDate</t>
  </si>
  <si>
    <t>date of baseline total Bilirubin</t>
  </si>
  <si>
    <t>blood_value_total_bilirubin_baseline_mgperdl_date</t>
  </si>
  <si>
    <t>OC9TBDAT</t>
  </si>
  <si>
    <t>bloodValuePHMin</t>
  </si>
  <si>
    <t>minimum pH of blood value</t>
  </si>
  <si>
    <t>blood_value_ph_min</t>
  </si>
  <si>
    <t>L6BVNPH</t>
  </si>
  <si>
    <t>OC9PHMN</t>
  </si>
  <si>
    <t>bloodValuePHMinDate</t>
  </si>
  <si>
    <t>date of minimum pH of blood value</t>
  </si>
  <si>
    <t>blood_value_ph_min_date</t>
  </si>
  <si>
    <t>L6BVNPHD</t>
  </si>
  <si>
    <t>OC9PMID</t>
  </si>
  <si>
    <t>bloodValueHCO3Min_mEqPerL</t>
  </si>
  <si>
    <t>minimum HCO3 (mEq/L or mmol/L) of blood value</t>
  </si>
  <si>
    <t>blood_value_hco3min_meqperl</t>
  </si>
  <si>
    <t>L6BVNHCO</t>
  </si>
  <si>
    <t>OC9HCMN</t>
  </si>
  <si>
    <t>bloodValueHCO3Min_mEqPerLDate</t>
  </si>
  <si>
    <t>date of minimum HCO3 of blood value</t>
  </si>
  <si>
    <t>blood_value_hco3min_meqperl_date</t>
  </si>
  <si>
    <t>L6BVNHCD</t>
  </si>
  <si>
    <t>OC9HCDA</t>
  </si>
  <si>
    <t>bloodValueSerumNaMin_mEqPerL</t>
  </si>
  <si>
    <t>minimum serum sodium (mEq/L or mmol/L)</t>
  </si>
  <si>
    <t>blood_value_serum_na_min_meqperl</t>
  </si>
  <si>
    <t>L6BVNSS</t>
  </si>
  <si>
    <t>OC9SSMN</t>
  </si>
  <si>
    <t>bloodValueSerumNaMin_mEqPerLDate</t>
  </si>
  <si>
    <t>date of minimum serum sodium</t>
  </si>
  <si>
    <t>blood_value_serum_na_min_meqperl_date</t>
  </si>
  <si>
    <t>L6BVNSSD</t>
  </si>
  <si>
    <t>OC9SSDA</t>
  </si>
  <si>
    <t>bloodValueSerumKMin_mEqPerL</t>
  </si>
  <si>
    <t>minimum serum potassium (mEq/L or mmol/L)</t>
  </si>
  <si>
    <t>blood_value_serum_k_min_meqperl</t>
  </si>
  <si>
    <t>L6BVNSP</t>
  </si>
  <si>
    <t>OC9SPMN</t>
  </si>
  <si>
    <t>bloodValueSerumKMin_mEqPerLDate</t>
  </si>
  <si>
    <t>date of minimum serum potassium</t>
  </si>
  <si>
    <t>blood_value_serum_k_min_meqperl_date</t>
  </si>
  <si>
    <t>L6BVNSPD</t>
  </si>
  <si>
    <t>OC9SPDA</t>
  </si>
  <si>
    <t>bloodValueClMin_mEqPerL</t>
  </si>
  <si>
    <t>minimum chlorides (mEq/L or mmol/L)</t>
  </si>
  <si>
    <t>blood_value_cl_min_meqperl</t>
  </si>
  <si>
    <t>L6BVNCL</t>
  </si>
  <si>
    <t>OC9CHMN</t>
  </si>
  <si>
    <t>bloodValueClMin_mEqPerLDate</t>
  </si>
  <si>
    <t>date of minimum chlorides</t>
  </si>
  <si>
    <t>blood_value_cl_min_meqperl_date</t>
  </si>
  <si>
    <t>L6BVNCLD</t>
  </si>
  <si>
    <t>OC9CHDA</t>
  </si>
  <si>
    <t>bloodValueGlucoseMin_mgPerdL</t>
  </si>
  <si>
    <t>minimum glucose (mg/dL)</t>
  </si>
  <si>
    <t>blood_value_glucose_min_mgperdl</t>
  </si>
  <si>
    <t>L6BVNGL</t>
  </si>
  <si>
    <t>OC9GLMN</t>
  </si>
  <si>
    <t>bloodValueGlucoseMin_mgPerdLDate</t>
  </si>
  <si>
    <t>date of minimum glucose</t>
  </si>
  <si>
    <t>blood_value_glucose_min_mgperdl_date</t>
  </si>
  <si>
    <t>L6BVNGLD</t>
  </si>
  <si>
    <t>OC9GLDA</t>
  </si>
  <si>
    <t>bloodValueTotalCaMin_mgPerdL</t>
  </si>
  <si>
    <t>minimum total calcium (mg/dL)</t>
  </si>
  <si>
    <t>blood_value_total_ca_min_mgperdl</t>
  </si>
  <si>
    <t>L6BVNTC</t>
  </si>
  <si>
    <t>OC9TCMN</t>
  </si>
  <si>
    <t>bloodValueTotalCaMin_mgPerdLDate</t>
  </si>
  <si>
    <t>date of minimum total calcium</t>
  </si>
  <si>
    <t>blood_value_total_ca_min_mgperdl_date</t>
  </si>
  <si>
    <t>L6BVNTCD</t>
  </si>
  <si>
    <t>OC9TCDA</t>
  </si>
  <si>
    <t>bloodValueIonCaMin_mgPerdL</t>
  </si>
  <si>
    <t>minimum ionized calcium (mg/dL)</t>
  </si>
  <si>
    <t>blood_value_ion_ca_min_mgperdl</t>
  </si>
  <si>
    <t>L6BVNIC</t>
  </si>
  <si>
    <t>OC9IOMN</t>
  </si>
  <si>
    <t>bloodValueIonCaMin_mgPerdLDate</t>
  </si>
  <si>
    <t>date of minimum ionized calcium</t>
  </si>
  <si>
    <t>blood_value_ion_ca_min_mgperdl_date</t>
  </si>
  <si>
    <t>L6BVNICD</t>
  </si>
  <si>
    <t>OC9IODA</t>
  </si>
  <si>
    <t>bloodValueASTSGOTMin_UPerL</t>
  </si>
  <si>
    <t>minimum AST/SGOT (U/L)</t>
  </si>
  <si>
    <t>blood_value_ast_sgot_min_uperl</t>
  </si>
  <si>
    <t>OC9ASMN</t>
  </si>
  <si>
    <t>bloodValueASTSGOTMin_UPerLDate</t>
  </si>
  <si>
    <t>date of minimum AST/SGOT</t>
  </si>
  <si>
    <t>blood_value_ast_sgot_min_uperl_date</t>
  </si>
  <si>
    <t>OC9ASDA</t>
  </si>
  <si>
    <t>bloodValueALTSGPTMin_UPerL</t>
  </si>
  <si>
    <t>minimum ALT/SGPT (U/L)</t>
  </si>
  <si>
    <t>blood_value_alt_sgpt_min_uperl</t>
  </si>
  <si>
    <t>OC9ALMN</t>
  </si>
  <si>
    <t>bloodValueALTSGPTMin_UPerLDate</t>
  </si>
  <si>
    <t>date of minimum ALT/SGPT</t>
  </si>
  <si>
    <t>blood_value_alt_sgpt_min_uperl_date</t>
  </si>
  <si>
    <t>OC9ALDA</t>
  </si>
  <si>
    <t>bloodValueTotalBilirubinMin_mgPerdL</t>
  </si>
  <si>
    <t>minimum total Bilirubin (mg/dL)</t>
  </si>
  <si>
    <t>blood_value_total_bilirubin_min_mgperdl</t>
  </si>
  <si>
    <t>OC9TBMN</t>
  </si>
  <si>
    <t>bloodValueTotalBilirubinMin_mgPerdLDate</t>
  </si>
  <si>
    <t>date of minimum total Bilirubin</t>
  </si>
  <si>
    <t>blood_value_total_bilirubin_min_mgperdl_date</t>
  </si>
  <si>
    <t>OC9TBDA</t>
  </si>
  <si>
    <t>bloodValuePHMax</t>
  </si>
  <si>
    <t>maximum pH of blood value</t>
  </si>
  <si>
    <t>blood_value_ph_max</t>
  </si>
  <si>
    <t>L6BVXPH</t>
  </si>
  <si>
    <t>OC9PHMX</t>
  </si>
  <si>
    <t>bloodValuePHMaxDate</t>
  </si>
  <si>
    <t>date of maximum pH of blood value</t>
  </si>
  <si>
    <t>blood_value_ph_max_date</t>
  </si>
  <si>
    <t>L6BVXPHD</t>
  </si>
  <si>
    <t>OC9PMXD</t>
  </si>
  <si>
    <t>bloodValueBaseDeficitMax_mEqPerL</t>
  </si>
  <si>
    <t>maximum base deficit (mmol/l)</t>
  </si>
  <si>
    <t>blood_value_base_deficit_max_meqperl</t>
  </si>
  <si>
    <t>L6BVXBD</t>
  </si>
  <si>
    <t>OC9BDMX</t>
  </si>
  <si>
    <t>bloodValueBaseDeficitMax_mEqPerLDate</t>
  </si>
  <si>
    <t>date of maximum base deficit</t>
  </si>
  <si>
    <t>blood_value_base_deficit_max_meqperl_date</t>
  </si>
  <si>
    <t>L6BVXBDD</t>
  </si>
  <si>
    <t>OC9BDMXD</t>
  </si>
  <si>
    <t>bloodValueSerumNaMax_mEqPerL</t>
  </si>
  <si>
    <t>maximum serum sodium (mEq/L or mmol/L)</t>
  </si>
  <si>
    <t>blood_value_serum_na_max_meqperl</t>
  </si>
  <si>
    <t>L6BVXSS</t>
  </si>
  <si>
    <t>OC9SSMX</t>
  </si>
  <si>
    <t>bloodValueSerumNaMax_mEqPerLDate</t>
  </si>
  <si>
    <t>date of maximum serum sodium</t>
  </si>
  <si>
    <t>blood_value_serum_na_max_meqperl_date</t>
  </si>
  <si>
    <t>L6BVXSSD</t>
  </si>
  <si>
    <t>OC9SSMXD</t>
  </si>
  <si>
    <t>bloodValueSerumKMax_mEqPerL</t>
  </si>
  <si>
    <t>maximum serum potassium (mEq/L or mmol/L)</t>
  </si>
  <si>
    <t>blood_value_serum_k_max_meqperl</t>
  </si>
  <si>
    <t>L6BVXSP</t>
  </si>
  <si>
    <t>OC9SPMX</t>
  </si>
  <si>
    <t>bloodValueSerumKMax_mEqPerLDate</t>
  </si>
  <si>
    <t>date of maximum serum potassium</t>
  </si>
  <si>
    <t>blood_value_serum_k_max_meqperl_date</t>
  </si>
  <si>
    <t>L6BVXSPD</t>
  </si>
  <si>
    <t>OC9SPMXD</t>
  </si>
  <si>
    <t>bloodValueClMax_mEqPerL</t>
  </si>
  <si>
    <t>maximum chlorides (mEq/L or mmol/L)</t>
  </si>
  <si>
    <t>blood_value_cl_max_meqperl</t>
  </si>
  <si>
    <t>L6BVXCL</t>
  </si>
  <si>
    <t>OC9CHMX</t>
  </si>
  <si>
    <t>bloodValueClMax_mEqPerLDate</t>
  </si>
  <si>
    <t>date of maximum chlorides</t>
  </si>
  <si>
    <t>blood_value_cl_max_meqperl_date</t>
  </si>
  <si>
    <t>L6BVXCLD</t>
  </si>
  <si>
    <t>OC9CHMXD</t>
  </si>
  <si>
    <t>bloodValueBunMax_mgPerdL</t>
  </si>
  <si>
    <t>maximum bun (mg/dL)</t>
  </si>
  <si>
    <t>blood_value_bun_max_mgperdl</t>
  </si>
  <si>
    <t>L6BVXBN</t>
  </si>
  <si>
    <t>OC9BNMX</t>
  </si>
  <si>
    <t>bloodValueBunMax_mgPerdLDate</t>
  </si>
  <si>
    <t>date of maximum bun</t>
  </si>
  <si>
    <t>blood_value_bun_max_mgperdl_date</t>
  </si>
  <si>
    <t>L6BVXBND</t>
  </si>
  <si>
    <t>OC9BNMXD</t>
  </si>
  <si>
    <t>bloodValueCreatinineMax_mgPerdL</t>
  </si>
  <si>
    <t>maximum creatinine (mg/dL)</t>
  </si>
  <si>
    <t>blood_value_creatinine_max_mgperdl</t>
  </si>
  <si>
    <t>L6BVXCR</t>
  </si>
  <si>
    <t>OC9CRMX</t>
  </si>
  <si>
    <t>bloodValueCreatinineMax_mgPerdLDate</t>
  </si>
  <si>
    <t>date of maximum creatinine</t>
  </si>
  <si>
    <t>blood_value_creatinine_max_mgperdl_date</t>
  </si>
  <si>
    <t>L6BVXCRD</t>
  </si>
  <si>
    <t>OC9CRMXD</t>
  </si>
  <si>
    <t>bloodValueGlucoseMax_mgPerdL</t>
  </si>
  <si>
    <t>maximum glucose (mg/dL)</t>
  </si>
  <si>
    <t>blood_value_glucose_max_mgperdl</t>
  </si>
  <si>
    <t>L6BVXGL</t>
  </si>
  <si>
    <t>OC9GLMX</t>
  </si>
  <si>
    <t>bloodValueGlucoseMax_mgPerdLDate</t>
  </si>
  <si>
    <t>date of maximum glucose</t>
  </si>
  <si>
    <t>blood_value_glucose_max_mgperdl_date</t>
  </si>
  <si>
    <t>L6BVXGLD</t>
  </si>
  <si>
    <t>OC9GLMXD</t>
  </si>
  <si>
    <t>bloodValueTotalCaMax_mgPerdL</t>
  </si>
  <si>
    <t>maximum total calcium (mg/dL)</t>
  </si>
  <si>
    <t>blood_value_total_ca_max_mgperdl</t>
  </si>
  <si>
    <t>OC9TCMX</t>
  </si>
  <si>
    <t>bloodValueTotalCaMax_mgPerdLDate</t>
  </si>
  <si>
    <t>date of maximum total calcium</t>
  </si>
  <si>
    <t>blood_value_total_ca_max_mgperdl_date</t>
  </si>
  <si>
    <t>OC9TCMXD</t>
  </si>
  <si>
    <t>bloodValueIonCaMax_mgPerdL</t>
  </si>
  <si>
    <t>maximum ionized calcium (mg/dL)</t>
  </si>
  <si>
    <t>blood_value_ion_ca_max_mgperdl</t>
  </si>
  <si>
    <t>OC9IOMX</t>
  </si>
  <si>
    <t>bloodValueIonCaMax_mgPerdLDate</t>
  </si>
  <si>
    <t>date of maximum ionized calcium</t>
  </si>
  <si>
    <t>blood_value_ion_ca_max_mgperdl_date</t>
  </si>
  <si>
    <t>OC9IOMXD</t>
  </si>
  <si>
    <t>bloodValueASTSGOTMax_UPerL</t>
  </si>
  <si>
    <t>maximum AST/SGOT (U/L)</t>
  </si>
  <si>
    <t>blood_value_ast_sgot_max_uperl</t>
  </si>
  <si>
    <t>L6BVXAS</t>
  </si>
  <si>
    <t>OC9ASMX</t>
  </si>
  <si>
    <t>bloodValueASTSGOTMax_UPerLDate</t>
  </si>
  <si>
    <t>date of maximum AST/SGOT</t>
  </si>
  <si>
    <t>blood_value_ast_sgot_max_uperl_date</t>
  </si>
  <si>
    <t>L6BVXASD</t>
  </si>
  <si>
    <t>OC9ASMXD</t>
  </si>
  <si>
    <t>bloodValueALTSGPTMax_UPerL</t>
  </si>
  <si>
    <t>maximum ALT/SGPT (U/L)</t>
  </si>
  <si>
    <t>blood_value_alt_sgpt_max_uperl</t>
  </si>
  <si>
    <t>L6BVXAL</t>
  </si>
  <si>
    <t>OC9ALMX</t>
  </si>
  <si>
    <t>bloodValueALTSGPTMax_UPerLDate</t>
  </si>
  <si>
    <t>date of maximum ALT/SGPT</t>
  </si>
  <si>
    <t>blood_value_alt_sgpt_max_uperl_date</t>
  </si>
  <si>
    <t>L6BVXALD</t>
  </si>
  <si>
    <t>OC9ALMXD</t>
  </si>
  <si>
    <t>bloodValueTotalBilirubinMax_mgPerdL</t>
  </si>
  <si>
    <t>maximum total Bilirubin (mg/dL)</t>
  </si>
  <si>
    <t>blood_value_total_bilirubin_max_mgperdl</t>
  </si>
  <si>
    <t>OC9TBMX</t>
  </si>
  <si>
    <t>bloodValueTotalBilirubinMax_mgPerdLDate</t>
  </si>
  <si>
    <t>date of maximum total Bilirubin</t>
  </si>
  <si>
    <t>blood_value_total_bilirubin_max_mgperdl_date</t>
  </si>
  <si>
    <t>OC9TBMXD</t>
  </si>
  <si>
    <t>positiveCultureNumber</t>
  </si>
  <si>
    <t>positive culture report number</t>
  </si>
  <si>
    <t>positive_culture_number</t>
  </si>
  <si>
    <t>OC9IPCNU</t>
  </si>
  <si>
    <t>positiveCulture</t>
  </si>
  <si>
    <t>positive culture result during study intervention period (within 96 hrs in LH) after baseline?</t>
  </si>
  <si>
    <t>positive_culture</t>
  </si>
  <si>
    <t>L6FPCRAB</t>
  </si>
  <si>
    <t>source of positive culture during study intervention period (within 96 hrs in LH) after baseline</t>
  </si>
  <si>
    <t>positive_culture_src</t>
  </si>
  <si>
    <t>L6FPARC</t>
  </si>
  <si>
    <t>OC9ISOUR</t>
  </si>
  <si>
    <t>positiveCultureDate</t>
  </si>
  <si>
    <t>date of positive culture during study intervention period (within 96 hrs in LH) after baseline</t>
  </si>
  <si>
    <t>positive_culture_date</t>
  </si>
  <si>
    <t>L6FPADT</t>
  </si>
  <si>
    <t>OC9IDATE</t>
  </si>
  <si>
    <t>positiveCultureTime</t>
  </si>
  <si>
    <t>time of positive culture during study intervention period (within 96 hrs in LH) after baseline</t>
  </si>
  <si>
    <t>positive_culture_time</t>
  </si>
  <si>
    <t>L6FPATM</t>
  </si>
  <si>
    <t>OC9ITIME</t>
  </si>
  <si>
    <t>positiveCultureOrganismCode1</t>
  </si>
  <si>
    <t>organism code of positive culture during study intervention period (within 96 hrs in LH) after baseline</t>
  </si>
  <si>
    <t>positive_culture_organism_code1</t>
  </si>
  <si>
    <t>L6FPAOC1</t>
  </si>
  <si>
    <t>OC9IOCO1</t>
  </si>
  <si>
    <t>positiveCultureOrganismCode2</t>
  </si>
  <si>
    <t>organism code-2 of positive culture during study intervention period (within 96 hrs in LH) after baseline</t>
  </si>
  <si>
    <t>positive_culture_organism_code2</t>
  </si>
  <si>
    <t>L6FPAOC2</t>
  </si>
  <si>
    <t>OC9IOCO2</t>
  </si>
  <si>
    <t>positiveCultureOrganismCode3</t>
  </si>
  <si>
    <t>organism code-3 of positive culture during study intervention period (within 96 hrs in LH) after baseline</t>
  </si>
  <si>
    <t>positive_culture_organism_code3</t>
  </si>
  <si>
    <t>L6FPAOC3</t>
  </si>
  <si>
    <t>OC9IOCO3</t>
  </si>
  <si>
    <t>antibiotic therapy started during study intervention period (within 96 hrs in LH) after baseline</t>
  </si>
  <si>
    <t>L6FPAAB</t>
  </si>
  <si>
    <t>OC9ATBL</t>
  </si>
  <si>
    <t>antibioticsCode1</t>
  </si>
  <si>
    <t>antibiotic after baseline code-1</t>
  </si>
  <si>
    <t>antibiotics_code1</t>
  </si>
  <si>
    <t>L6FPAAC1</t>
  </si>
  <si>
    <t>OC9AABC1</t>
  </si>
  <si>
    <t>antibioticsCode2</t>
  </si>
  <si>
    <t>antibiotic after baseline code-2</t>
  </si>
  <si>
    <t>antibiotics_code2</t>
  </si>
  <si>
    <t>L6FPAAC2</t>
  </si>
  <si>
    <t>OC9AABC2</t>
  </si>
  <si>
    <t>antibioticsCode3</t>
  </si>
  <si>
    <t>antibiotic after baseline code-3</t>
  </si>
  <si>
    <t>antibiotics_code3</t>
  </si>
  <si>
    <t>L6FPAAC3</t>
  </si>
  <si>
    <t>OC9AABC3</t>
  </si>
  <si>
    <t>rewarmingAntibiotics</t>
  </si>
  <si>
    <t>antibiotic therapy started during rewarming</t>
  </si>
  <si>
    <t>rewarming_antibiotics</t>
  </si>
  <si>
    <t>OC9ATRW</t>
  </si>
  <si>
    <t>rewarmingAntibioticsCode1</t>
  </si>
  <si>
    <t>antibiotic during rewarming code-1</t>
  </si>
  <si>
    <t>rewarming_antibiotics_code1</t>
  </si>
  <si>
    <t>OC9ARWC1</t>
  </si>
  <si>
    <t>rewarmingAntibioticsCode2</t>
  </si>
  <si>
    <t>antibiotic during rewarming code-2</t>
  </si>
  <si>
    <t>rewarming_antibiotics_code2</t>
  </si>
  <si>
    <t>OC9ARWC2</t>
  </si>
  <si>
    <t>rewarmingAntibioticsCode3</t>
  </si>
  <si>
    <t>antibiotic during rewarming code-3</t>
  </si>
  <si>
    <t>rewarming_antibiotics_code3</t>
  </si>
  <si>
    <t>OC9ARWC3</t>
  </si>
  <si>
    <t>otherMedTimeSlot</t>
  </si>
  <si>
    <t>Other Meds: Interval-ID</t>
  </si>
  <si>
    <t>other_med_time_slot</t>
  </si>
  <si>
    <t>LH6OMINT</t>
  </si>
  <si>
    <t>otherMedTargetDate</t>
  </si>
  <si>
    <t>other_med_target_date</t>
  </si>
  <si>
    <t>LH6OMTDT</t>
  </si>
  <si>
    <t>otherMedTargetTime</t>
  </si>
  <si>
    <t>other_med_target_time</t>
  </si>
  <si>
    <t>LH6OMTTM</t>
  </si>
  <si>
    <t>LH6OMACV</t>
  </si>
  <si>
    <t>anticonvulsants1</t>
  </si>
  <si>
    <t>LH6OMAC1</t>
  </si>
  <si>
    <t>OC8OMAC1</t>
  </si>
  <si>
    <t>anticonvulsants2</t>
  </si>
  <si>
    <t>LH6OMAC2</t>
  </si>
  <si>
    <t>OC8OMAC2</t>
  </si>
  <si>
    <t>anticonvulsants3</t>
  </si>
  <si>
    <t>LH6OMAC3</t>
  </si>
  <si>
    <t>OC8OMAC3</t>
  </si>
  <si>
    <t>LH6OMAGS</t>
  </si>
  <si>
    <t>analgesicsSedatives1</t>
  </si>
  <si>
    <t>analgesics_sedatives1</t>
  </si>
  <si>
    <t>LH6OMAG1</t>
  </si>
  <si>
    <t>OC8OMAG1</t>
  </si>
  <si>
    <t>analgesicsSedatives2</t>
  </si>
  <si>
    <t>analgesics_sedatives2</t>
  </si>
  <si>
    <t>LH6OMAG2</t>
  </si>
  <si>
    <t>OC8OMAG2</t>
  </si>
  <si>
    <t>analgesicsSedatives3</t>
  </si>
  <si>
    <t>analgesics_sedatives3</t>
  </si>
  <si>
    <t>LH6OMAG3</t>
  </si>
  <si>
    <t>OC8OMAG3</t>
  </si>
  <si>
    <t>LH6OMAPY</t>
  </si>
  <si>
    <t>antipyretics1</t>
  </si>
  <si>
    <t>LH6OMAP1</t>
  </si>
  <si>
    <t>OC8OMAP1</t>
  </si>
  <si>
    <t>antipyretics2</t>
  </si>
  <si>
    <t>LH6OMAP2</t>
  </si>
  <si>
    <t>OC8OMAP2</t>
  </si>
  <si>
    <t>antipyretics3</t>
  </si>
  <si>
    <t>LH6OMAP3</t>
  </si>
  <si>
    <t>OC8OMAP3</t>
  </si>
  <si>
    <t>LH6OMNBA</t>
  </si>
  <si>
    <t>paralytics1</t>
  </si>
  <si>
    <t>LH6OMNB1</t>
  </si>
  <si>
    <t>OC8OMNB1</t>
  </si>
  <si>
    <t>paralytics2</t>
  </si>
  <si>
    <t>LH6OMNB2</t>
  </si>
  <si>
    <t>OC8OMNB2</t>
  </si>
  <si>
    <t>paralytics3</t>
  </si>
  <si>
    <t>LH6OMNB3</t>
  </si>
  <si>
    <t>OC8OMNB3</t>
  </si>
  <si>
    <t>otherMedFluidIntake_ccPerKg</t>
  </si>
  <si>
    <t>other_med_fluid_intake_cc_per_kg</t>
  </si>
  <si>
    <t>LH6OMFI</t>
  </si>
  <si>
    <t>OC8OMFI</t>
  </si>
  <si>
    <t>otherMedUrineOutput_ccPerKg</t>
  </si>
  <si>
    <t>other_med_urine_output_cc_per_kg</t>
  </si>
  <si>
    <t>LH6OMUO</t>
  </si>
  <si>
    <t>OC8OMUO</t>
  </si>
  <si>
    <t>imagingTimeSlot</t>
  </si>
  <si>
    <t>imaging interval-ID</t>
  </si>
  <si>
    <t>imaging_time_slot</t>
  </si>
  <si>
    <t>LH9IMGTP</t>
  </si>
  <si>
    <t>OC12INTV</t>
  </si>
  <si>
    <t>headSonogram</t>
  </si>
  <si>
    <t>head_sonogram</t>
  </si>
  <si>
    <t>LH9HSONO</t>
  </si>
  <si>
    <t>OC12HSON</t>
  </si>
  <si>
    <t>headSonogramDate</t>
  </si>
  <si>
    <t>head_sonogram_date</t>
  </si>
  <si>
    <t>LH9HSDAT</t>
  </si>
  <si>
    <t>OC12HSDA</t>
  </si>
  <si>
    <t>headSonogramTime</t>
  </si>
  <si>
    <t>head_sonogram_time</t>
  </si>
  <si>
    <t>LH9HSTIM</t>
  </si>
  <si>
    <t>OC12HSTM</t>
  </si>
  <si>
    <t>headSonogramResult1</t>
  </si>
  <si>
    <t>head_sonogram_result1</t>
  </si>
  <si>
    <t>LH9HSREA</t>
  </si>
  <si>
    <t>OC12HSRA</t>
  </si>
  <si>
    <t>headSonogramResult2</t>
  </si>
  <si>
    <t>head_sonogram_result2</t>
  </si>
  <si>
    <t>LH9HSREB</t>
  </si>
  <si>
    <t>OC12HSRB</t>
  </si>
  <si>
    <t>headSonogramResult3</t>
  </si>
  <si>
    <t>head_sonogram_result3</t>
  </si>
  <si>
    <t>LH9HSREC</t>
  </si>
  <si>
    <t>OC12HSRC</t>
  </si>
  <si>
    <t>headSonogramResult4</t>
  </si>
  <si>
    <t>head_sonogram_result4</t>
  </si>
  <si>
    <t>LH9HSRED</t>
  </si>
  <si>
    <t>OC12HSRD</t>
  </si>
  <si>
    <t>headSonogramResult5</t>
  </si>
  <si>
    <t>head_sonogram_result5</t>
  </si>
  <si>
    <t>LH9HSREE</t>
  </si>
  <si>
    <t>OC12HSRE</t>
  </si>
  <si>
    <t>headSonogramResult6</t>
  </si>
  <si>
    <t>head_sonogram_result6</t>
  </si>
  <si>
    <t>LH9HSREF</t>
  </si>
  <si>
    <t>OC12HSRF</t>
  </si>
  <si>
    <t>headSonogramResult7</t>
  </si>
  <si>
    <t>head_sonogram_result7</t>
  </si>
  <si>
    <t>LH9HSREG</t>
  </si>
  <si>
    <t>OC12HSRG</t>
  </si>
  <si>
    <t>headSonogramResult8</t>
  </si>
  <si>
    <t>head_sonogram_result8</t>
  </si>
  <si>
    <t>LH9HSREH</t>
  </si>
  <si>
    <t>OC12HSRH</t>
  </si>
  <si>
    <t>headSonogramResultText</t>
  </si>
  <si>
    <t>head_sonogram_result_text</t>
  </si>
  <si>
    <t>LH9HSRES</t>
  </si>
  <si>
    <t>OC12HSRS</t>
  </si>
  <si>
    <t>headCT</t>
  </si>
  <si>
    <t>head_ct</t>
  </si>
  <si>
    <t>LH9HCT</t>
  </si>
  <si>
    <t>OC12HCT</t>
  </si>
  <si>
    <t>headCTDate</t>
  </si>
  <si>
    <t>head_ct_date</t>
  </si>
  <si>
    <t>LH9HCDAT</t>
  </si>
  <si>
    <t>OC12HCDA</t>
  </si>
  <si>
    <t>headCTTime</t>
  </si>
  <si>
    <t>head_ct_time</t>
  </si>
  <si>
    <t>LH9HCTIM</t>
  </si>
  <si>
    <t>OC12HCTM</t>
  </si>
  <si>
    <t>headCTResult1</t>
  </si>
  <si>
    <t>head_ct_result1</t>
  </si>
  <si>
    <t>LH9HCREA</t>
  </si>
  <si>
    <t>OC12HCRA</t>
  </si>
  <si>
    <t>headCTResult2</t>
  </si>
  <si>
    <t>head_ct_result2</t>
  </si>
  <si>
    <t>LH9HCREB</t>
  </si>
  <si>
    <t>OC12HCRB</t>
  </si>
  <si>
    <t>headCTResult3</t>
  </si>
  <si>
    <t>head_ct_result3</t>
  </si>
  <si>
    <t>LH9HCREC</t>
  </si>
  <si>
    <t>OC12HCRC</t>
  </si>
  <si>
    <t>headCTResult4</t>
  </si>
  <si>
    <t>head_ct_result4</t>
  </si>
  <si>
    <t>LH9HCRED</t>
  </si>
  <si>
    <t>OC12HCRD</t>
  </si>
  <si>
    <t>headCTResult5</t>
  </si>
  <si>
    <t>head_ct_result5</t>
  </si>
  <si>
    <t>LH9HCREE</t>
  </si>
  <si>
    <t>OC12HCRE</t>
  </si>
  <si>
    <t>headCTResult6</t>
  </si>
  <si>
    <t>head_ct_result6</t>
  </si>
  <si>
    <t>LH9HCREF</t>
  </si>
  <si>
    <t>OC12HCRF</t>
  </si>
  <si>
    <t>headCTResult7</t>
  </si>
  <si>
    <t>head_ct_result7</t>
  </si>
  <si>
    <t>LH9HCREG</t>
  </si>
  <si>
    <t>OC12HCRG</t>
  </si>
  <si>
    <t>headCTResult8</t>
  </si>
  <si>
    <t>head_ct_result8</t>
  </si>
  <si>
    <t>LH9HCREH</t>
  </si>
  <si>
    <t>OC12HCRH</t>
  </si>
  <si>
    <t>headCTResultText</t>
  </si>
  <si>
    <t>head_ct_result_text</t>
  </si>
  <si>
    <t>LH9HCRES</t>
  </si>
  <si>
    <t>OC12HCRS</t>
  </si>
  <si>
    <t>brainMRI</t>
  </si>
  <si>
    <t>brain_mri</t>
  </si>
  <si>
    <t>LH9MRI</t>
  </si>
  <si>
    <t>OC12MRI</t>
  </si>
  <si>
    <t>brainMRIDate</t>
  </si>
  <si>
    <t>brain_mri_date</t>
  </si>
  <si>
    <t>LH9BMDAT</t>
  </si>
  <si>
    <t>OC12BMDA</t>
  </si>
  <si>
    <t>brainMRITime</t>
  </si>
  <si>
    <t>brain_mri_time</t>
  </si>
  <si>
    <t>LH9BMTIM</t>
  </si>
  <si>
    <t>OC12BMTM</t>
  </si>
  <si>
    <t>brainMRIResult1</t>
  </si>
  <si>
    <t>brain_mri_result1</t>
  </si>
  <si>
    <t>LH9BMREA</t>
  </si>
  <si>
    <t>OC12BMRA</t>
  </si>
  <si>
    <t>brainMRIResult2</t>
  </si>
  <si>
    <t>brain_mri_result2</t>
  </si>
  <si>
    <t>LH9BMREB</t>
  </si>
  <si>
    <t>OC12BMRB</t>
  </si>
  <si>
    <t>brainMRIResult3</t>
  </si>
  <si>
    <t>brain_mri_result3</t>
  </si>
  <si>
    <t>LH9BMREC</t>
  </si>
  <si>
    <t>OC12BMRC</t>
  </si>
  <si>
    <t>brainMRIResult4</t>
  </si>
  <si>
    <t>brain_mri_result4</t>
  </si>
  <si>
    <t>LH9BMRED</t>
  </si>
  <si>
    <t>OC12BMRD</t>
  </si>
  <si>
    <t>brainMRIResult5</t>
  </si>
  <si>
    <t>brain_mri_result5</t>
  </si>
  <si>
    <t>LH9BMREE</t>
  </si>
  <si>
    <t>OC12BMRE</t>
  </si>
  <si>
    <t>brainMRIResult6</t>
  </si>
  <si>
    <t>brain_mri_result6</t>
  </si>
  <si>
    <t>LH9BMREF</t>
  </si>
  <si>
    <t>OC12BMRF</t>
  </si>
  <si>
    <t>brainMRIResult7</t>
  </si>
  <si>
    <t>brain_mri_result7</t>
  </si>
  <si>
    <t>LH9BMREG</t>
  </si>
  <si>
    <t>OC12BMRG</t>
  </si>
  <si>
    <t>brainMRIResult8</t>
  </si>
  <si>
    <t>brain_mri_result8</t>
  </si>
  <si>
    <t>LH9BMREH</t>
  </si>
  <si>
    <t>OC12BMRH</t>
  </si>
  <si>
    <t>brainMRIResultText</t>
  </si>
  <si>
    <t>brain_mri_result_text</t>
  </si>
  <si>
    <t>LH9BMRES</t>
  </si>
  <si>
    <t>OC12BMRS</t>
  </si>
  <si>
    <t>Elevated Temperature</t>
  </si>
  <si>
    <t>elevatedTempNumber</t>
  </si>
  <si>
    <t>report no.</t>
  </si>
  <si>
    <t>elevated_temp_number</t>
  </si>
  <si>
    <t>LH6ARNUM</t>
  </si>
  <si>
    <t>elevatedTempMin</t>
  </si>
  <si>
    <t>minute</t>
  </si>
  <si>
    <t>elevated_temp_min</t>
  </si>
  <si>
    <t>LH6AMIN</t>
  </si>
  <si>
    <t>elevatedTempDate</t>
  </si>
  <si>
    <t>date of fever</t>
  </si>
  <si>
    <t>elevated_temp_date</t>
  </si>
  <si>
    <t>LH6ADATE</t>
  </si>
  <si>
    <t>elevatedTempTime</t>
  </si>
  <si>
    <t>time of fever</t>
  </si>
  <si>
    <t>elevated_temp_time</t>
  </si>
  <si>
    <t>LH6ATIME</t>
  </si>
  <si>
    <t>elevatedTempSkinTemperature_C</t>
  </si>
  <si>
    <t>skin when fever</t>
  </si>
  <si>
    <t>elevated_temp_skin_temperature_c</t>
  </si>
  <si>
    <t>LH6ASKIN</t>
  </si>
  <si>
    <t>elevatedTempAxillaryTemperature_C</t>
  </si>
  <si>
    <t>axillary when fever</t>
  </si>
  <si>
    <t>elevated_temp_axillary_temperature_c</t>
  </si>
  <si>
    <t>LH6AAXIL</t>
  </si>
  <si>
    <t>elevatedTempEsophagealTemperature_C</t>
  </si>
  <si>
    <t>esophageal when fever</t>
  </si>
  <si>
    <t>elevated_temp_esophageal_temperature_c</t>
  </si>
  <si>
    <t>LH6AESOP</t>
  </si>
  <si>
    <t>elevatedTempServoSet_C</t>
  </si>
  <si>
    <t>servo set point</t>
  </si>
  <si>
    <t>elevated_temp_servo_set_c</t>
  </si>
  <si>
    <t>LH6ASERV</t>
  </si>
  <si>
    <t>elevatedTempDevice</t>
  </si>
  <si>
    <t>device</t>
  </si>
  <si>
    <t>elevated_temp_device</t>
  </si>
  <si>
    <t>LH6ADEVI</t>
  </si>
  <si>
    <t>elevatedTempDeviceMode</t>
  </si>
  <si>
    <t>mode</t>
  </si>
  <si>
    <t>elevated_temp_device_mode</t>
  </si>
  <si>
    <t>LH6AMODE</t>
  </si>
  <si>
    <t>elevatedTempAirTemperature_C</t>
  </si>
  <si>
    <t>air temperature</t>
  </si>
  <si>
    <t>elevated_temp_air_temperature_c</t>
  </si>
  <si>
    <t>LH6AATEM</t>
  </si>
  <si>
    <t>elevatedTempBath</t>
  </si>
  <si>
    <t>bath (if Tes &gt; 37.5C)</t>
  </si>
  <si>
    <t>elevated_temp_bath</t>
  </si>
  <si>
    <t>LH6ABATH</t>
  </si>
  <si>
    <t>elevatedTempNoBathReason</t>
  </si>
  <si>
    <t>reason if not bath</t>
  </si>
  <si>
    <t>elevated_temp_no_bath_reason</t>
  </si>
  <si>
    <t>LH6AREAS</t>
  </si>
  <si>
    <t>elevatedTempBlanketrol</t>
  </si>
  <si>
    <t>blanketrol (if Tes &gt; 37.3C after bath)</t>
  </si>
  <si>
    <t>elevated_temp_blanketrol</t>
  </si>
  <si>
    <t>LH6ABLAN</t>
  </si>
  <si>
    <t>Fluctuated Temperature</t>
  </si>
  <si>
    <t>fluctuateTempNumber</t>
  </si>
  <si>
    <t>fluctuate_temp_number</t>
  </si>
  <si>
    <t>LH6FRNUM</t>
  </si>
  <si>
    <t>fluctuateTempMin</t>
  </si>
  <si>
    <t>fluctuate_temp_min</t>
  </si>
  <si>
    <t>LH6FMIN</t>
  </si>
  <si>
    <t>fluctuateTempDate</t>
  </si>
  <si>
    <t>fluctuate_temp_date</t>
  </si>
  <si>
    <t>LH6FDATE</t>
  </si>
  <si>
    <t>fluctuateTempTime</t>
  </si>
  <si>
    <t>fluctuate_temp_time</t>
  </si>
  <si>
    <t>LH6FTIME</t>
  </si>
  <si>
    <t>fluctuateTempSkinTemperature_C</t>
  </si>
  <si>
    <t>skin</t>
  </si>
  <si>
    <t>fluctuate_temp_skin_temperature_c</t>
  </si>
  <si>
    <t>LH6FSKIN</t>
  </si>
  <si>
    <t>fluctuateTempAxillaryTemperature_C</t>
  </si>
  <si>
    <t>axillary</t>
  </si>
  <si>
    <t>fluctuate_temp_axillary_temperature_c</t>
  </si>
  <si>
    <t>LH6FAXIL</t>
  </si>
  <si>
    <t>fluctuateTempEsophagealTemperature_C</t>
  </si>
  <si>
    <t>esophageal</t>
  </si>
  <si>
    <t>fluctuate_temp_esophageal_temperature_c</t>
  </si>
  <si>
    <t>LH6FESOP</t>
  </si>
  <si>
    <t>fluctuateTempBlanketrol_C</t>
  </si>
  <si>
    <t>blanketrol</t>
  </si>
  <si>
    <t>fluctuate_temp_blanketrol_c</t>
  </si>
  <si>
    <t>LH6FBLAN</t>
  </si>
  <si>
    <t>fluctuateTempServoSet_C</t>
  </si>
  <si>
    <t>fluctuate_temp_servo_set_c</t>
  </si>
  <si>
    <t>LH6FSERV</t>
  </si>
  <si>
    <t>Bradycardia</t>
  </si>
  <si>
    <t>bradycardiaEventNumber</t>
  </si>
  <si>
    <t>Report Number (form filled out for each bradycardia event)</t>
  </si>
  <si>
    <t>bradycardia_event_number</t>
  </si>
  <si>
    <t>O17RPTNM</t>
  </si>
  <si>
    <t>bradycardiaBelow70Over15min</t>
  </si>
  <si>
    <t>Bradycardia &lt;= 70 for &gt; 15min?</t>
  </si>
  <si>
    <t>bradycardia_below70_over15min</t>
  </si>
  <si>
    <t>O17CSBC</t>
  </si>
  <si>
    <t>bradycardiaEKG</t>
  </si>
  <si>
    <t>Was EKG Obtained?</t>
  </si>
  <si>
    <t>bradycardia_ekg</t>
  </si>
  <si>
    <t>O17EKG</t>
  </si>
  <si>
    <t>bradycardiaEKGResult</t>
  </si>
  <si>
    <t>Results of the EKG</t>
  </si>
  <si>
    <t>bradycardia_ekg_result</t>
  </si>
  <si>
    <t>O17EKGR</t>
  </si>
  <si>
    <t>bradycardiaEKGResultOtherText</t>
  </si>
  <si>
    <t>Results of EKG, Other (2) Specify</t>
  </si>
  <si>
    <t>bradycardia_ekg_result_other_text</t>
  </si>
  <si>
    <t>O17EKGRS</t>
  </si>
  <si>
    <t>bradycardiaAntiarrhythmiaMedication</t>
  </si>
  <si>
    <t>Were antiarrhythmia medications given?</t>
  </si>
  <si>
    <t>bradycardia_antiarrhythmia_medication</t>
  </si>
  <si>
    <t>O17AAMED</t>
  </si>
  <si>
    <t>bradycardiaDate</t>
  </si>
  <si>
    <t>Episode of Bradycardia: (Start) Date</t>
  </si>
  <si>
    <t>bradycardia_date</t>
  </si>
  <si>
    <t>O17EBSDT</t>
  </si>
  <si>
    <t>bradycardiaTime</t>
  </si>
  <si>
    <t>Episode of Bradycardia: Start Time</t>
  </si>
  <si>
    <t>bradycardia_time</t>
  </si>
  <si>
    <t>O17EBSTM</t>
  </si>
  <si>
    <t>bradycardiaDuration</t>
  </si>
  <si>
    <t>Episode of Bradycardia: Duration</t>
  </si>
  <si>
    <t>bradycardia_duration</t>
  </si>
  <si>
    <t>O17EBDUR</t>
  </si>
  <si>
    <t>bradycardiaHeartRateMin</t>
  </si>
  <si>
    <t>Eipsode of Bradycardia: Lowest Heart Rate</t>
  </si>
  <si>
    <t>bradycardia_heart_rate_min</t>
  </si>
  <si>
    <t>O17EBLHR</t>
  </si>
  <si>
    <t>Adverse Event</t>
  </si>
  <si>
    <t>adverseEventNumber</t>
  </si>
  <si>
    <t>Hypothermia Study Adverse Event Number</t>
  </si>
  <si>
    <t>adverse_event_number</t>
  </si>
  <si>
    <t>LH7EVNM</t>
  </si>
  <si>
    <t>OC15EVNM</t>
  </si>
  <si>
    <t>SAECardiacExperienceOnsetDate</t>
  </si>
  <si>
    <t>Cardiac experience (cardiac arrhythemia requiring evaluation and therapy) date of onset</t>
  </si>
  <si>
    <t>sae_cardiac_experience_onset_date</t>
  </si>
  <si>
    <t>LH7CDTO</t>
  </si>
  <si>
    <t>OC15CDTO</t>
  </si>
  <si>
    <t>SAECardiacExperienceOnsetTime</t>
  </si>
  <si>
    <t>Cardiac experience time of onset:</t>
  </si>
  <si>
    <t>sae_cardiac_experience_onset_time</t>
  </si>
  <si>
    <t>LH7CTMO</t>
  </si>
  <si>
    <t>OC15CTMO</t>
  </si>
  <si>
    <t>SAECardiacExperienceResolveDate</t>
  </si>
  <si>
    <t>Cardiac experience date resolved</t>
  </si>
  <si>
    <t>sae_cardiac_experience_resolve_date</t>
  </si>
  <si>
    <t>LH7CDTR</t>
  </si>
  <si>
    <t>OC15CDTR</t>
  </si>
  <si>
    <t>SAECardiacExperienceResolveTime</t>
  </si>
  <si>
    <t>Cardiac experience time resolved:</t>
  </si>
  <si>
    <t>sae_cardiac_experience_resolve_time</t>
  </si>
  <si>
    <t>LH7CTMR</t>
  </si>
  <si>
    <t>OC15CTMR</t>
  </si>
  <si>
    <t>SAECardiacExperienceDueToHypothermia</t>
  </si>
  <si>
    <t>SAEAttributable</t>
  </si>
  <si>
    <t>Cardiac experience attributable to hypothermia (no, unlikely, possible, probable):</t>
  </si>
  <si>
    <t>sae_cardiac_experience_due_to_hypothermia</t>
  </si>
  <si>
    <t>LH7CATT</t>
  </si>
  <si>
    <t>OC15CATT</t>
  </si>
  <si>
    <t>SAECardiacExperienceActionTaken</t>
  </si>
  <si>
    <t>SAEAction</t>
  </si>
  <si>
    <t>Cardiac experience action taken:</t>
  </si>
  <si>
    <t>sae_cardiac_experience_action_taken</t>
  </si>
  <si>
    <t>LH7CACT</t>
  </si>
  <si>
    <t>OC15CACT</t>
  </si>
  <si>
    <t>SAECardiacExperienceOutcome</t>
  </si>
  <si>
    <t>SAEOutcome</t>
  </si>
  <si>
    <t>Cardiac experience outcome:</t>
  </si>
  <si>
    <t>sae_cardiac_experience_outcome</t>
  </si>
  <si>
    <t>LH7COUT</t>
  </si>
  <si>
    <t>OC15COUT</t>
  </si>
  <si>
    <t>SAECardiacExperienceComment</t>
  </si>
  <si>
    <t>Cardiac experience comments:</t>
  </si>
  <si>
    <t>sae_cardiac_experience_comment</t>
  </si>
  <si>
    <t>LH7CCOM</t>
  </si>
  <si>
    <t>OC15CCOM</t>
  </si>
  <si>
    <t>SAEMetabolicAcidosisOnsetDate</t>
  </si>
  <si>
    <t>Metabolic acidosis date of onset</t>
  </si>
  <si>
    <t>sae_metabolic_acidosis_onset_date</t>
  </si>
  <si>
    <t>LH7MDTO</t>
  </si>
  <si>
    <t>OC15MDTO</t>
  </si>
  <si>
    <t>SAEMetabolicAcidosisOnsetTime</t>
  </si>
  <si>
    <t>Metabolic acidosis time of onset:</t>
  </si>
  <si>
    <t>sae_metabolic_acidosis_onset_time</t>
  </si>
  <si>
    <t>LH7MTMO</t>
  </si>
  <si>
    <t>OC15MTMO</t>
  </si>
  <si>
    <t>SAEMetabolicAcidosisResolveDate</t>
  </si>
  <si>
    <t>Metabolic acidosis date resolved</t>
  </si>
  <si>
    <t>sae_metabolic_acidosis_resolve_date</t>
  </si>
  <si>
    <t>LH7MDTR</t>
  </si>
  <si>
    <t>OC15MDTR</t>
  </si>
  <si>
    <t>SAEMetabolicAcidosisResolveTime</t>
  </si>
  <si>
    <t>Metabolic acidosis time resolved:</t>
  </si>
  <si>
    <t>sae_metabolic_acidosis_resolve_time</t>
  </si>
  <si>
    <t>LH7MTMR</t>
  </si>
  <si>
    <t>OC15MTMR</t>
  </si>
  <si>
    <t>SAEMetabolicAcidosisDueToHypothermia</t>
  </si>
  <si>
    <t>Metabolic acidosis attributable to hypothermia:</t>
  </si>
  <si>
    <t>sae_metabolic_acidosis_due_to_hypothermia</t>
  </si>
  <si>
    <t>LH7MATT</t>
  </si>
  <si>
    <t>OC15MATT</t>
  </si>
  <si>
    <t>SAEMetabolicAcidosisActionTaken</t>
  </si>
  <si>
    <t>Metabolic acidosis action taken:</t>
  </si>
  <si>
    <t>sae_metabolic_acidosis_action_taken</t>
  </si>
  <si>
    <t>LH7MACT</t>
  </si>
  <si>
    <t>OC15MACT</t>
  </si>
  <si>
    <t>SAEMetabolicAcidosisOutcome</t>
  </si>
  <si>
    <t>Metabolic acidosis outcome:</t>
  </si>
  <si>
    <t>sae_metabolic_acidosis_outcome</t>
  </si>
  <si>
    <t>LH7MOUT</t>
  </si>
  <si>
    <t>OC15MOUT</t>
  </si>
  <si>
    <t>SAEMetabolicAcidosisComment</t>
  </si>
  <si>
    <t>Metabolic acidosis comments:</t>
  </si>
  <si>
    <t>sae_metabolic_acidosis_comment</t>
  </si>
  <si>
    <t>LH7MCOM</t>
  </si>
  <si>
    <t>OC15MCOM</t>
  </si>
  <si>
    <t>SAEThrombosisExperienceOnsetDate</t>
  </si>
  <si>
    <t>Thrombosis experience date of onset</t>
  </si>
  <si>
    <t>sae_thrombosis_experience_onset_date</t>
  </si>
  <si>
    <t>LH7TDTO</t>
  </si>
  <si>
    <t>OC15TDTO</t>
  </si>
  <si>
    <t>SAEThrombosisExperienceOnsetTime</t>
  </si>
  <si>
    <t>Thrombosis experience time of onset:</t>
  </si>
  <si>
    <t>sae_thrombosis_experience_onset_time</t>
  </si>
  <si>
    <t>LH7TTMO</t>
  </si>
  <si>
    <t>OC15TTMO</t>
  </si>
  <si>
    <t>SAEThrombosisExperienceResolveDate</t>
  </si>
  <si>
    <t>Thrombosis experience date resolved</t>
  </si>
  <si>
    <t>sae_thrombosis_experience_resolve_date</t>
  </si>
  <si>
    <t>LH7TDTR</t>
  </si>
  <si>
    <t>OC15TDTR</t>
  </si>
  <si>
    <t>SAEThrombosisExperienceResolveTime</t>
  </si>
  <si>
    <t>Thrombosis experience time resolved:</t>
  </si>
  <si>
    <t>sae_thrombosis_experience_resolve_time</t>
  </si>
  <si>
    <t>LH7TTMR</t>
  </si>
  <si>
    <t>OC15TTMR</t>
  </si>
  <si>
    <t>SAEThrombosisExperienceDueToHypothermia</t>
  </si>
  <si>
    <t>Thrombosis experience attributable to hypothermia:</t>
  </si>
  <si>
    <t>sae_thrombosis_experience_due_to_hypothermia</t>
  </si>
  <si>
    <t>LH7TATT</t>
  </si>
  <si>
    <t>OC15TATT</t>
  </si>
  <si>
    <t>SAEThrombosisExperienceActionTaken</t>
  </si>
  <si>
    <t>Thrombosis experience action taken:</t>
  </si>
  <si>
    <t>sae_thrombosis_experience_action_taken</t>
  </si>
  <si>
    <t>LH7TACT</t>
  </si>
  <si>
    <t>OC15TACT</t>
  </si>
  <si>
    <t>SAEThrombosisExperienceOutcome</t>
  </si>
  <si>
    <t>Thrombosis experience outcome:</t>
  </si>
  <si>
    <t>sae_thrombosis_experience_outcome</t>
  </si>
  <si>
    <t>LH7TOUT</t>
  </si>
  <si>
    <t>OC15TOUT</t>
  </si>
  <si>
    <t>SAEThrombosisExperienceComment</t>
  </si>
  <si>
    <t>Thrombosis experience comments:</t>
  </si>
  <si>
    <t>sae_thrombosis_experience_comment</t>
  </si>
  <si>
    <t>LH7TCOM</t>
  </si>
  <si>
    <t>OC15TCOM</t>
  </si>
  <si>
    <t>SAEBleedingExperienceOnsetDate</t>
  </si>
  <si>
    <t>Bleeding experience date of onset</t>
  </si>
  <si>
    <t>sae_bleeding_experience_onset_date</t>
  </si>
  <si>
    <t>LH7BDTO</t>
  </si>
  <si>
    <t>OC15BDTO</t>
  </si>
  <si>
    <t>SAEBleedingExperienceOnsetTime</t>
  </si>
  <si>
    <t>Bleeding experience time of onset:</t>
  </si>
  <si>
    <t>sae_bleeding_experience_onset_time</t>
  </si>
  <si>
    <t>LH7BTMO</t>
  </si>
  <si>
    <t>OC15BTMO</t>
  </si>
  <si>
    <t>SAEBleedingExperienceResolveDate</t>
  </si>
  <si>
    <t>Bleeding experience date resolved</t>
  </si>
  <si>
    <t>sae_bleeding_experience_resolve_date</t>
  </si>
  <si>
    <t>LH7BDTR</t>
  </si>
  <si>
    <t>OC15BDTR</t>
  </si>
  <si>
    <t>SAEBleedingExperienceResolveTime</t>
  </si>
  <si>
    <t>Bleeding experience time resolved:</t>
  </si>
  <si>
    <t>sae_bleeding_experience_resolve_time</t>
  </si>
  <si>
    <t>LH7BTMR</t>
  </si>
  <si>
    <t>OC15BTMR</t>
  </si>
  <si>
    <t>SAEBleedingExperienceDueToHypothermia</t>
  </si>
  <si>
    <t>Bleeding experience attributable to hypothermia:</t>
  </si>
  <si>
    <t>sae_bleeding_experience_due_to_hypothermia</t>
  </si>
  <si>
    <t>LH7BATT</t>
  </si>
  <si>
    <t>OC15BATT</t>
  </si>
  <si>
    <t>SAEBleedingExperienceActionTaken</t>
  </si>
  <si>
    <t>Bleeding experience action taken:</t>
  </si>
  <si>
    <t>sae_bleeding_experience_action_taken</t>
  </si>
  <si>
    <t>LH7BACT</t>
  </si>
  <si>
    <t>OC15BACT</t>
  </si>
  <si>
    <t>SAEBleedingExperienceOutcome</t>
  </si>
  <si>
    <t>Bleeding experience outcome:</t>
  </si>
  <si>
    <t>sae_bleeding_experience_outcome</t>
  </si>
  <si>
    <t>LH7BOUT</t>
  </si>
  <si>
    <t>OC15BOUT</t>
  </si>
  <si>
    <t>SAEBleedingExperienceComment</t>
  </si>
  <si>
    <t>Bleeding experience comments:</t>
  </si>
  <si>
    <t>sae_bleeding_experience_comment</t>
  </si>
  <si>
    <t>LH7BCOM</t>
  </si>
  <si>
    <t>OC15BCOM</t>
  </si>
  <si>
    <t>SAEAlterationSkinIntegrity</t>
  </si>
  <si>
    <t>Alteration of skin integrity</t>
  </si>
  <si>
    <t>sae_alteration_skin_integrity</t>
  </si>
  <si>
    <t>LH7ALT</t>
  </si>
  <si>
    <t>OC15ALT</t>
  </si>
  <si>
    <t>SAEAlterationSkinIntegrityOnsetDate</t>
  </si>
  <si>
    <t>Skin integrity alteration date of onset</t>
  </si>
  <si>
    <t>sae_alteration_skin_integrity_onset_date</t>
  </si>
  <si>
    <t>OC15ADTO</t>
  </si>
  <si>
    <t>SAEAlterationSkinIntegrityResolveDate</t>
  </si>
  <si>
    <t>Skin integrity alteration date resolved</t>
  </si>
  <si>
    <t>sae_alteration_skin_integrity_resolve_date</t>
  </si>
  <si>
    <t>OC15ADTR</t>
  </si>
  <si>
    <t>SAEAlterationSkinIntegrityDueToHypothermia</t>
  </si>
  <si>
    <t>Skin integrity alteration attributable to hypotherm</t>
  </si>
  <si>
    <t>sae_alteration_skin_integrity_due_to_hypothermia</t>
  </si>
  <si>
    <t>LH7AATT</t>
  </si>
  <si>
    <t>OC15AATT</t>
  </si>
  <si>
    <t>SAEAlterationSkinIntegrityActionTaken</t>
  </si>
  <si>
    <t>Skin integrity alteration action taken:</t>
  </si>
  <si>
    <t>sae_alteration_skin_integrity_action_taken</t>
  </si>
  <si>
    <t>LH7ACT</t>
  </si>
  <si>
    <t>OC15ACT</t>
  </si>
  <si>
    <t>SAEAlterationSkinIntegrityOutcome</t>
  </si>
  <si>
    <t>Skin integrity alteration outcome:</t>
  </si>
  <si>
    <t>sae_alteration_skin_integrity_outcome</t>
  </si>
  <si>
    <t>LH7AOUT</t>
  </si>
  <si>
    <t>OC15AOUT</t>
  </si>
  <si>
    <t>SAEAlterationSkinIntegrityComment</t>
  </si>
  <si>
    <t>Skin integrity alteration comments:</t>
  </si>
  <si>
    <t>sae_alteration_skin_integrity_comment</t>
  </si>
  <si>
    <t>LH7ACOM</t>
  </si>
  <si>
    <t>OC15ACOM</t>
  </si>
  <si>
    <t>SAEDeathDate</t>
  </si>
  <si>
    <t>Death date:</t>
  </si>
  <si>
    <t>sae_death_date</t>
  </si>
  <si>
    <t>LH7DDT</t>
  </si>
  <si>
    <t>OC15DDT</t>
  </si>
  <si>
    <t>SAEDeathTime</t>
  </si>
  <si>
    <t>Death time:</t>
  </si>
  <si>
    <t>sae_death_time</t>
  </si>
  <si>
    <t>LH7DTM</t>
  </si>
  <si>
    <t>OC15DTM</t>
  </si>
  <si>
    <t>SAEDeathDueToHypothermia</t>
  </si>
  <si>
    <t>Death attributable to hypothermia:</t>
  </si>
  <si>
    <t>sae_death_due_to_hypothermia</t>
  </si>
  <si>
    <t>LH7DATT</t>
  </si>
  <si>
    <t>OC15DATT</t>
  </si>
  <si>
    <t>SAEDeathActionTaken</t>
  </si>
  <si>
    <t>Death action taken:</t>
  </si>
  <si>
    <t>sae_death_action_taken</t>
  </si>
  <si>
    <t>LH7DACT</t>
  </si>
  <si>
    <t>OC15DACT</t>
  </si>
  <si>
    <t>SAEDeathOutcome</t>
  </si>
  <si>
    <t>Death outcome:</t>
  </si>
  <si>
    <t>sae_death_outcome</t>
  </si>
  <si>
    <t>LH7DOUT</t>
  </si>
  <si>
    <t>OC15DOUT</t>
  </si>
  <si>
    <t>SAEDeathComment</t>
  </si>
  <si>
    <t>Death comments:</t>
  </si>
  <si>
    <t>sae_death_comment</t>
  </si>
  <si>
    <t>LH7DCOM</t>
  </si>
  <si>
    <t>OC15DCOM</t>
  </si>
  <si>
    <t>SAEOther</t>
  </si>
  <si>
    <t>Other SAE (serious adverse event): Specify</t>
  </si>
  <si>
    <t>sae_other</t>
  </si>
  <si>
    <t>LH7OSAE</t>
  </si>
  <si>
    <t>OC15OSP</t>
  </si>
  <si>
    <t>SAEOtherOnsetDate</t>
  </si>
  <si>
    <t>Other SAE experience date of onset</t>
  </si>
  <si>
    <t>sae_other_onset_date</t>
  </si>
  <si>
    <t>LH7ODTO</t>
  </si>
  <si>
    <t>OC15ODTO</t>
  </si>
  <si>
    <t>SAEOtherOnsetTime</t>
  </si>
  <si>
    <t>Other SAE experience time of onset:</t>
  </si>
  <si>
    <t>sae_other_onset_time</t>
  </si>
  <si>
    <t>LH7OTMO</t>
  </si>
  <si>
    <t>OC15OTMO</t>
  </si>
  <si>
    <t>SAEOtherResolveDate</t>
  </si>
  <si>
    <t>Other SAE experience date resolved</t>
  </si>
  <si>
    <t>sae_other_resolve_date</t>
  </si>
  <si>
    <t>LH7ODTR</t>
  </si>
  <si>
    <t>OC15ODTR</t>
  </si>
  <si>
    <t>SAEOtherResolveTime</t>
  </si>
  <si>
    <t>Other SAE experience time resolved:</t>
  </si>
  <si>
    <t>sae_other_resolve_time</t>
  </si>
  <si>
    <t>LH7OTMR</t>
  </si>
  <si>
    <t>OC15OTMR</t>
  </si>
  <si>
    <t>SAEOtherDueToHypothermia</t>
  </si>
  <si>
    <t>Other SAE attributable to hypothermia:</t>
  </si>
  <si>
    <t>sae_other_due_to_hypothermia</t>
  </si>
  <si>
    <t>LH7OATT</t>
  </si>
  <si>
    <t>OC15OATT</t>
  </si>
  <si>
    <t>SAEOtherActionTaken</t>
  </si>
  <si>
    <t>Other SAE action taken:</t>
  </si>
  <si>
    <t>sae_other_action_taken</t>
  </si>
  <si>
    <t>LH7OACT</t>
  </si>
  <si>
    <t>OC15OACT</t>
  </si>
  <si>
    <t>SAEOtherOutcome</t>
  </si>
  <si>
    <t>Other SAE outcome:</t>
  </si>
  <si>
    <t>sae_other_outcome</t>
  </si>
  <si>
    <t>LH7OOUT</t>
  </si>
  <si>
    <t>OC15OOUT</t>
  </si>
  <si>
    <t>SAEOtherComment</t>
  </si>
  <si>
    <t>Other SAE comments:</t>
  </si>
  <si>
    <t>sae_other_comment</t>
  </si>
  <si>
    <t>LH7OCOM</t>
  </si>
  <si>
    <t>OC15OCOM</t>
  </si>
  <si>
    <t>Violation</t>
  </si>
  <si>
    <t>violationNumber</t>
  </si>
  <si>
    <t>Protocol Violation Number</t>
  </si>
  <si>
    <t>violation_number</t>
  </si>
  <si>
    <t>LH14VINM</t>
  </si>
  <si>
    <t>OC14RPTN</t>
  </si>
  <si>
    <t>violationDate</t>
  </si>
  <si>
    <t>Date of protocol violation</t>
  </si>
  <si>
    <t>violation_date</t>
  </si>
  <si>
    <t>LH14VIDT</t>
  </si>
  <si>
    <t>OC14DATE</t>
  </si>
  <si>
    <t>violationNature</t>
  </si>
  <si>
    <t>Nature of the protocol violation</t>
  </si>
  <si>
    <t>violation_nature</t>
  </si>
  <si>
    <t>LH14VINT</t>
  </si>
  <si>
    <t>OC14NOPV</t>
  </si>
  <si>
    <t>violationTreatmentAssign</t>
  </si>
  <si>
    <t>Treatment the infant was assigned</t>
  </si>
  <si>
    <t>violation_treatment_assign</t>
  </si>
  <si>
    <t>OC14TRAS</t>
  </si>
  <si>
    <t>violationTreatmentReceive</t>
  </si>
  <si>
    <t>Treatment the infant received</t>
  </si>
  <si>
    <t>violation_treatment_receive</t>
  </si>
  <si>
    <t>OC14TRRC</t>
  </si>
  <si>
    <t>violationOtherText</t>
  </si>
  <si>
    <t>If other violation (9), please describe:</t>
  </si>
  <si>
    <t>violation_other_text</t>
  </si>
  <si>
    <t>LH14OTSP</t>
  </si>
  <si>
    <t>OC14PVSP</t>
  </si>
  <si>
    <t>violationCircumstance</t>
  </si>
  <si>
    <t>Circumstances of protocol violation</t>
  </si>
  <si>
    <t>violation_circumstance</t>
  </si>
  <si>
    <t>LH14CIRC</t>
  </si>
  <si>
    <t>OC14CIRC</t>
  </si>
  <si>
    <t>violationOtherCirumstanceText</t>
  </si>
  <si>
    <t>If other circumstances, specify:</t>
  </si>
  <si>
    <t>violation_other_cirumstance_text</t>
  </si>
  <si>
    <t>LH14CIRS</t>
  </si>
  <si>
    <t>OC14CIRS</t>
  </si>
  <si>
    <t>violationComment</t>
  </si>
  <si>
    <t>Additional comments</t>
  </si>
  <si>
    <t>violation_comment</t>
  </si>
  <si>
    <t>LH14INFO</t>
  </si>
  <si>
    <t>OC14COMM</t>
  </si>
  <si>
    <t>Interrupt</t>
  </si>
  <si>
    <t>interruptNumber</t>
  </si>
  <si>
    <t>Report Number (form completed for each TH interruption &gt;15mins)</t>
  </si>
  <si>
    <t>interrupt_number</t>
  </si>
  <si>
    <t>OC10RPTN</t>
  </si>
  <si>
    <t>interrupt</t>
  </si>
  <si>
    <t>Was cooling interrupted for any reason?</t>
  </si>
  <si>
    <t>OC10INT</t>
  </si>
  <si>
    <t>interruptReason</t>
  </si>
  <si>
    <t>Reason cooling interrupted</t>
  </si>
  <si>
    <t>interrupt_reason</t>
  </si>
  <si>
    <t>OC10INTR</t>
  </si>
  <si>
    <t>interruptReasonText</t>
  </si>
  <si>
    <t>Reason cooling interrupted Specify</t>
  </si>
  <si>
    <t>interrupt_reason_text</t>
  </si>
  <si>
    <t>OC10SPFY</t>
  </si>
  <si>
    <t>interruptDate</t>
  </si>
  <si>
    <t>Date when intervention was interrupted</t>
  </si>
  <si>
    <t>interrupt_date</t>
  </si>
  <si>
    <t>OC10IDAT</t>
  </si>
  <si>
    <t>interruptTime</t>
  </si>
  <si>
    <t>Time when intervention interrupted</t>
  </si>
  <si>
    <t>interrupt_time</t>
  </si>
  <si>
    <t>OC10ITIM</t>
  </si>
  <si>
    <t>interruptRestartDate</t>
  </si>
  <si>
    <t>Date when intervention restarted</t>
  </si>
  <si>
    <t>interrupt_restart_date</t>
  </si>
  <si>
    <t>OC10RDAT</t>
  </si>
  <si>
    <t>interruptRestartTime</t>
  </si>
  <si>
    <t>Time when intervention restarted</t>
  </si>
  <si>
    <t>interrupt_restart_time</t>
  </si>
  <si>
    <t>OC10RTIM</t>
  </si>
  <si>
    <t>interruptRestartEsophagealTemperature_C</t>
  </si>
  <si>
    <t>Esophageal temperature when intervention restarted</t>
  </si>
  <si>
    <t>interrupt_restart_esophageal_temperature_c</t>
  </si>
  <si>
    <t>OC10TEMP</t>
  </si>
  <si>
    <t>Discontinue</t>
  </si>
  <si>
    <t>discontinueDate</t>
  </si>
  <si>
    <t>Date when intervention discontinued</t>
  </si>
  <si>
    <t>discontinue_date</t>
  </si>
  <si>
    <t>LH10DTDC</t>
  </si>
  <si>
    <t>OC6NCEDT</t>
  </si>
  <si>
    <t>discontinueTime</t>
  </si>
  <si>
    <t>Time when intervention discontinued</t>
  </si>
  <si>
    <t>discontinue_time</t>
  </si>
  <si>
    <t>LH10TMDC</t>
  </si>
  <si>
    <t>OC6NCETM</t>
  </si>
  <si>
    <t>discontinueBeforeEndPeriod</t>
  </si>
  <si>
    <t>intervention discontinued prior to 96 hours?</t>
  </si>
  <si>
    <t>discontinue_before_end_period</t>
  </si>
  <si>
    <t>OC: inverse of value</t>
  </si>
  <si>
    <t>LH10DC96</t>
  </si>
  <si>
    <t>OC6CLTEP</t>
  </si>
  <si>
    <t>discontinueParentsWithdraw</t>
  </si>
  <si>
    <t>parents withdrew consent</t>
  </si>
  <si>
    <t>discontinue_parents_withdraw</t>
  </si>
  <si>
    <t>OC: from OC6NCEPR = 1</t>
  </si>
  <si>
    <t>LH10PARW</t>
  </si>
  <si>
    <t>discontinuePhysicianWithdraw</t>
  </si>
  <si>
    <t>physician withdrew infant from study</t>
  </si>
  <si>
    <t>discontinue_physician_withdraw</t>
  </si>
  <si>
    <t>OC: from OC6NCEPR = 2</t>
  </si>
  <si>
    <t>LH10MDWD</t>
  </si>
  <si>
    <t>discontinueAdverseEvent</t>
  </si>
  <si>
    <t>adverse event</t>
  </si>
  <si>
    <t>discontinue_adverse_event</t>
  </si>
  <si>
    <t>OC: from OC6NCEPR = 3</t>
  </si>
  <si>
    <t>LH10ADVR</t>
  </si>
  <si>
    <t>discontinueECMO</t>
  </si>
  <si>
    <t>ECMO</t>
  </si>
  <si>
    <t>discontinue_ecmo</t>
  </si>
  <si>
    <t>OC: from OC6NCEPR = 4</t>
  </si>
  <si>
    <t>LH10EMCO</t>
  </si>
  <si>
    <t>discontinueDNR</t>
  </si>
  <si>
    <t>discontinue_dnr</t>
  </si>
  <si>
    <t>OC: from OC6NCEPR = 5</t>
  </si>
  <si>
    <t>discontinueWdrawSupport</t>
  </si>
  <si>
    <t>discontinue_wdraw_support</t>
  </si>
  <si>
    <t>OC: from OC6NCEPR = 6</t>
  </si>
  <si>
    <t>discontinueDeath</t>
  </si>
  <si>
    <t>discontinue_death</t>
  </si>
  <si>
    <t>OC: from OC6NCEPR = 7</t>
  </si>
  <si>
    <t>LH10DEAT</t>
  </si>
  <si>
    <t>discontinueOther</t>
  </si>
  <si>
    <t>other</t>
  </si>
  <si>
    <t>discontinue_other</t>
  </si>
  <si>
    <t>OC: from OC6NCEPR = 9</t>
  </si>
  <si>
    <t>LH10OTH</t>
  </si>
  <si>
    <t>discontinueOtherText</t>
  </si>
  <si>
    <t>specify (other)</t>
  </si>
  <si>
    <t>discontinue_other_text</t>
  </si>
  <si>
    <t>LH10OTHS</t>
  </si>
  <si>
    <t>OC6NCERS</t>
  </si>
  <si>
    <t>Post-intervention</t>
  </si>
  <si>
    <t>post_TemperatureTimeSlot</t>
  </si>
  <si>
    <t>Day Interval of highest temperature recording</t>
  </si>
  <si>
    <t>post_temperature_time_slot</t>
  </si>
  <si>
    <t>L6AHTDAY</t>
  </si>
  <si>
    <t>OC6DINTV</t>
  </si>
  <si>
    <t>post_TemperatureDate</t>
  </si>
  <si>
    <t>Date of highest temperature recording</t>
  </si>
  <si>
    <t>post_temperature_date</t>
  </si>
  <si>
    <t>L6AHTDT</t>
  </si>
  <si>
    <t>OC6DTPDT</t>
  </si>
  <si>
    <t>post_TemperatureTime</t>
  </si>
  <si>
    <t>Time of highest temperature recording</t>
  </si>
  <si>
    <t>post_temperature_time</t>
  </si>
  <si>
    <t>L6AHTTM</t>
  </si>
  <si>
    <t>OC6DTPTM</t>
  </si>
  <si>
    <t>post_SkinTemperature_C</t>
  </si>
  <si>
    <t>Highest Skin temperature</t>
  </si>
  <si>
    <t>post_skin_temperature_c</t>
  </si>
  <si>
    <t>L6AHTST</t>
  </si>
  <si>
    <t>OC6DSKNT</t>
  </si>
  <si>
    <t>post_AxillaryTemperature_C</t>
  </si>
  <si>
    <t>Highest Axillary temperature</t>
  </si>
  <si>
    <t>post_axillary_temperature_c</t>
  </si>
  <si>
    <t>L6AHTAT</t>
  </si>
  <si>
    <t>OC6DAXIT</t>
  </si>
  <si>
    <t>post_AlterationSkinIntegrity</t>
  </si>
  <si>
    <t>Alteration of Skin Integrity? over day of treatment</t>
  </si>
  <si>
    <t>post_alteration_skin_integrity</t>
  </si>
  <si>
    <t>OC6DASI</t>
  </si>
  <si>
    <t>post_Shiver</t>
  </si>
  <si>
    <t>Shivering? over day of treatment</t>
  </si>
  <si>
    <t>post_shiver</t>
  </si>
  <si>
    <t>OC6DSHIV</t>
  </si>
  <si>
    <t>normothermiaAtEndIntervention</t>
  </si>
  <si>
    <t>Infant reached normothermia at conclusion of intervention?</t>
  </si>
  <si>
    <t>normothermia_at_end_intervention</t>
  </si>
  <si>
    <t>OC6RCHNT</t>
  </si>
  <si>
    <t>normothermiaDate</t>
  </si>
  <si>
    <t>Date Infant reached normothermia</t>
  </si>
  <si>
    <t>normothermia_date</t>
  </si>
  <si>
    <t>OC6RNDAT</t>
  </si>
  <si>
    <t>normothermiaTime</t>
  </si>
  <si>
    <t>Time Infant reached normothermia</t>
  </si>
  <si>
    <t>normothermia_time</t>
  </si>
  <si>
    <t>OC6RNTIM</t>
  </si>
  <si>
    <t>normothermiaAxillaryTemperature_C</t>
  </si>
  <si>
    <t>Axillary Temp at time normothermia reached</t>
  </si>
  <si>
    <t>normothermia_axillary_temperature_c</t>
  </si>
  <si>
    <t>OC6RNTMP</t>
  </si>
  <si>
    <t>noNormothermiaReason</t>
  </si>
  <si>
    <t>Reason Infant did not reach normothermia</t>
  </si>
  <si>
    <t>no_normothermia_reason</t>
  </si>
  <si>
    <t>OC6RNNRN</t>
  </si>
  <si>
    <t>coolAfterIntervention</t>
  </si>
  <si>
    <t>Cooling Treatment after intervention</t>
  </si>
  <si>
    <t>cool_after_intervention</t>
  </si>
  <si>
    <t>OC6NCECC</t>
  </si>
  <si>
    <t>coolAfterInterventionText</t>
  </si>
  <si>
    <t>Cooling Treatement after intervention Specify</t>
  </si>
  <si>
    <t>cool_after_intervention_text</t>
  </si>
  <si>
    <t>OC6NCECS</t>
  </si>
  <si>
    <t>post_BloodValueASTSGOT_UPerL</t>
  </si>
  <si>
    <t>end-of-study AST/SGOT (U/L)</t>
  </si>
  <si>
    <t>post_blood_value_ast_sgot_uperl</t>
  </si>
  <si>
    <t>OC9ASES</t>
  </si>
  <si>
    <t>post_BloodValueASTSGOT_UPerLDate</t>
  </si>
  <si>
    <t>date of end-of-study AST/SGOT</t>
  </si>
  <si>
    <t>post_blood_value_ast_sgot_uperl_date</t>
  </si>
  <si>
    <t>OC9ASESD</t>
  </si>
  <si>
    <t>post_BloodValueALTSGPT_UPerL</t>
  </si>
  <si>
    <t>end-of-study ALT/SGPT (U/L)</t>
  </si>
  <si>
    <t>post_blood_value_alt_sgpt_uperl</t>
  </si>
  <si>
    <t>OC9ALES</t>
  </si>
  <si>
    <t>post_BloodValueALTSGPT_UPerLDate</t>
  </si>
  <si>
    <t>date of end-of-study ALT/SGPT</t>
  </si>
  <si>
    <t>post_blood_value_alt_sgpt_uperl_date</t>
  </si>
  <si>
    <t>OC9ALESD</t>
  </si>
  <si>
    <t>post_BloodValueTotalBilirubin_mgPerdL</t>
  </si>
  <si>
    <t>end-of-study total Bilirubin (mg/dL)</t>
  </si>
  <si>
    <t>post_blood_value_total_bilirubin_mgperdl</t>
  </si>
  <si>
    <t>OC9TBES</t>
  </si>
  <si>
    <t>post_BloodValueTotalBilirubin_mgPerdLDate</t>
  </si>
  <si>
    <t>date of end-of-study total Bilirubin</t>
  </si>
  <si>
    <t>post_blood_value_total_bilirubin_mgperdl_date</t>
  </si>
  <si>
    <t>OC9TBESD</t>
  </si>
  <si>
    <t>post_HeadSonogram</t>
  </si>
  <si>
    <t>post_head_sonogram</t>
  </si>
  <si>
    <t>LH: interval as 3</t>
  </si>
  <si>
    <t>post_HeadSonogramDate</t>
  </si>
  <si>
    <t>post_head_sonogram_date</t>
  </si>
  <si>
    <t>post_HeadSonogramTime</t>
  </si>
  <si>
    <t>post_head_sonogram_time</t>
  </si>
  <si>
    <t>post_HeadSonogramResult1</t>
  </si>
  <si>
    <t>post_head_sonogram_result1</t>
  </si>
  <si>
    <t>post_HeadSonogramResult2</t>
  </si>
  <si>
    <t>post_head_sonogram_result2</t>
  </si>
  <si>
    <t>post_HeadSonogramResult3</t>
  </si>
  <si>
    <t>post_head_sonogram_result3</t>
  </si>
  <si>
    <t>post_HeadSonogramResult4</t>
  </si>
  <si>
    <t>post_head_sonogram_result4</t>
  </si>
  <si>
    <t>post_HeadSonogramResult5</t>
  </si>
  <si>
    <t>post_head_sonogram_result5</t>
  </si>
  <si>
    <t>post_HeadSonogramResult6</t>
  </si>
  <si>
    <t>post_head_sonogram_result6</t>
  </si>
  <si>
    <t>post_HeadSonogramResult7</t>
  </si>
  <si>
    <t>post_head_sonogram_result7</t>
  </si>
  <si>
    <t>post_HeadSonogramResult8</t>
  </si>
  <si>
    <t>post_head_sonogram_result8</t>
  </si>
  <si>
    <t>post_HeadSonogramResultText</t>
  </si>
  <si>
    <t>post_head_sonogram_result_text</t>
  </si>
  <si>
    <t>post_HeadCT</t>
  </si>
  <si>
    <t>post_head_ct</t>
  </si>
  <si>
    <t>post_HeadCTDate</t>
  </si>
  <si>
    <t>post_head_ct_date</t>
  </si>
  <si>
    <t>post_HeadCTTime</t>
  </si>
  <si>
    <t>post_head_ct_time</t>
  </si>
  <si>
    <t>post_HeadCTResult1</t>
  </si>
  <si>
    <t>post_head_ct_result1</t>
  </si>
  <si>
    <t>post_HeadCTResult2</t>
  </si>
  <si>
    <t>post_head_ct_result2</t>
  </si>
  <si>
    <t>post_HeadCTResult3</t>
  </si>
  <si>
    <t>post_head_ct_result3</t>
  </si>
  <si>
    <t>post_HeadCTResult4</t>
  </si>
  <si>
    <t>post_head_ct_result4</t>
  </si>
  <si>
    <t>post_HeadCTResult5</t>
  </si>
  <si>
    <t>post_head_ct_result5</t>
  </si>
  <si>
    <t>post_HeadCTResult6</t>
  </si>
  <si>
    <t>post_head_ct_result6</t>
  </si>
  <si>
    <t>post_HeadCTResult7</t>
  </si>
  <si>
    <t>post_head_ct_result7</t>
  </si>
  <si>
    <t>post_HeadCTResult8</t>
  </si>
  <si>
    <t>post_head_ct_result8</t>
  </si>
  <si>
    <t>post_HeadCTResultText</t>
  </si>
  <si>
    <t>post_head_ct_result_text</t>
  </si>
  <si>
    <t>post_BrainMRI</t>
  </si>
  <si>
    <t>post_brain_mri</t>
  </si>
  <si>
    <t>post_BrainMRIDate</t>
  </si>
  <si>
    <t>post_brain_mri_date</t>
  </si>
  <si>
    <t>post_BrainMRITime</t>
  </si>
  <si>
    <t>post_brain_mri_time</t>
  </si>
  <si>
    <t>post_BrainMRIResult1</t>
  </si>
  <si>
    <t>post_brain_mri_result1</t>
  </si>
  <si>
    <t>post_BrainMRIResult2</t>
  </si>
  <si>
    <t>post_brain_mri_result2</t>
  </si>
  <si>
    <t>post_BrainMRIResult3</t>
  </si>
  <si>
    <t>post_brain_mri_result3</t>
  </si>
  <si>
    <t>post_BrainMRIResult4</t>
  </si>
  <si>
    <t>post_brain_mri_result4</t>
  </si>
  <si>
    <t>post_BrainMRIResult5</t>
  </si>
  <si>
    <t>post_brain_mri_result5</t>
  </si>
  <si>
    <t>post_BrainMRIResult6</t>
  </si>
  <si>
    <t>post_brain_mri_result6</t>
  </si>
  <si>
    <t>post_BrainMRIResult7</t>
  </si>
  <si>
    <t>post_brain_mri_result7</t>
  </si>
  <si>
    <t>post_BrainMRIResult8</t>
  </si>
  <si>
    <t>post_brain_mri_result8</t>
  </si>
  <si>
    <t>post_BrainMRIResultText</t>
  </si>
  <si>
    <t>post_brain_mri_result_text</t>
  </si>
  <si>
    <t>post_NeuroExamSectionID</t>
  </si>
  <si>
    <t>Section ID Neuro Examiniation post-treatment or at death/discharge</t>
  </si>
  <si>
    <t>post_neuro_exam_section_id</t>
  </si>
  <si>
    <t>OC11EXNM</t>
  </si>
  <si>
    <t>post_NeuroExam</t>
  </si>
  <si>
    <t>Was a neuro exam performed between 24 and 48hrs after normothermia</t>
  </si>
  <si>
    <t>post_neuro_exam</t>
  </si>
  <si>
    <t>OC11EXDN</t>
  </si>
  <si>
    <t>post_NeuroExamDate</t>
  </si>
  <si>
    <t>Neuro Exam Date</t>
  </si>
  <si>
    <t>post_neuro_exam_date</t>
  </si>
  <si>
    <t>LH11DT_1</t>
  </si>
  <si>
    <t>OC11EXDT</t>
  </si>
  <si>
    <t>post_NeuroExamTime</t>
  </si>
  <si>
    <t>Neuro Exam Time</t>
  </si>
  <si>
    <t>post_neuro_exam_time</t>
  </si>
  <si>
    <t>LH11TM_1</t>
  </si>
  <si>
    <t>OC11EXTM</t>
  </si>
  <si>
    <t>post_NeuroExamLevelConsciousness</t>
  </si>
  <si>
    <t>24-48 Hrs after normothermia Neuro Exam (108-132 hrs in LH, 24-48 hrs post normo in OC): Level of Consciousness</t>
  </si>
  <si>
    <t>post_neuro_exam_level_consciousness</t>
  </si>
  <si>
    <t>LH11LC_1</t>
  </si>
  <si>
    <t>OC11C_LC</t>
  </si>
  <si>
    <t>post_NeuroExamSpontaneousActivity</t>
  </si>
  <si>
    <t>24-48 Hrs after normothermia Neuro Exam (108-132 hrs in LH, 24-48 hrs post normo in OC): Spontaneous Activity</t>
  </si>
  <si>
    <t>post_neuro_exam_spontaneous_activity</t>
  </si>
  <si>
    <t>LH11SP_1</t>
  </si>
  <si>
    <t>OC11CSPA</t>
  </si>
  <si>
    <t>post_NeuroExamPosture</t>
  </si>
  <si>
    <t>24-48 Hrs after normothermia Neuro Exam (108-132 hrs in LH, 24-48 hrs post normo in OC): Posture</t>
  </si>
  <si>
    <t>post_neuro_exam_posture</t>
  </si>
  <si>
    <t>LH11PO_1</t>
  </si>
  <si>
    <t>OC11CPOS</t>
  </si>
  <si>
    <t>post_NeuroExamTone</t>
  </si>
  <si>
    <t>Decreased Tone</t>
  </si>
  <si>
    <t>post_neuro_exam_tone</t>
  </si>
  <si>
    <t>LH11TO_1</t>
  </si>
  <si>
    <t>OC11C_DT</t>
  </si>
  <si>
    <t>post_NeuroExamSuck</t>
  </si>
  <si>
    <t>24-48 Hrs after normothermia Neuro Exam (108-132 hrs in LH, 24-48 hrs post normo in OC): Primitive Reflexes: Suck</t>
  </si>
  <si>
    <t>post_neuro_exam_suck</t>
  </si>
  <si>
    <t>LH11SC_1</t>
  </si>
  <si>
    <t>OC11CPRS</t>
  </si>
  <si>
    <t>post_NeuroExamMoro</t>
  </si>
  <si>
    <t>24-48 Hrs after normothermia Neuro Exam (108-132 hrs in LH, 24-48 hrs post normo in OC): Primitive Reflexes: Moro</t>
  </si>
  <si>
    <t>post_neuro_exam_moro</t>
  </si>
  <si>
    <t>LH11MR_1</t>
  </si>
  <si>
    <t>OC11CPRM</t>
  </si>
  <si>
    <t>post_NeuroExamPupils</t>
  </si>
  <si>
    <t>24-48 Hrs after normothermia Neuro Exam (108-132 hrs in LH, 24-48 hrs post normo in OC): Autonomic System: Pupils</t>
  </si>
  <si>
    <t>post_neuro_exam_pupils</t>
  </si>
  <si>
    <t>LH11PU_1</t>
  </si>
  <si>
    <t>OC11CASP</t>
  </si>
  <si>
    <t>post_NeuroExamHeartRate</t>
  </si>
  <si>
    <t>24-48 Hrs after normothermia Neuro Exam (108-132 hrs in LH, 24-48 hrs post normo in OC): Autonomic System: Heart rate</t>
  </si>
  <si>
    <t>post_neuro_exam_heart_rate</t>
  </si>
  <si>
    <t>LH11HR_1</t>
  </si>
  <si>
    <t>OC11CASH</t>
  </si>
  <si>
    <t>post_NeuroExamRespiration</t>
  </si>
  <si>
    <t>Autonomic System: Respiration</t>
  </si>
  <si>
    <t>post_neuro_exam_respiration</t>
  </si>
  <si>
    <t>LH11RS_1</t>
  </si>
  <si>
    <t>OC11CASR</t>
  </si>
  <si>
    <t>post_NeuroExamSeizure</t>
  </si>
  <si>
    <t>24-48 Hrs after normothermia Neuro Exam (108-132 hrs in LH, 24-48 hrs post normo in OC): Clinical seizures?</t>
  </si>
  <si>
    <t>post_neuro_exam_seizure</t>
  </si>
  <si>
    <t>LH11SZ_1</t>
  </si>
  <si>
    <t>OC11CLSZ</t>
  </si>
  <si>
    <t>post_NeuroExamSedate</t>
  </si>
  <si>
    <t>24-48 Hrs after normothermia Neuro Exam (108-132 hrs in LH, 24-48 hrs post normo in OC): Was Infant sedated?</t>
  </si>
  <si>
    <t>post_neuro_exam_sedate</t>
  </si>
  <si>
    <t>LH11SE_1</t>
  </si>
  <si>
    <t>OC11ISED</t>
  </si>
  <si>
    <t>post_NeuroExamClonusSustained</t>
  </si>
  <si>
    <t>24-48 Hrs after normothermia Neuro Exam (108-132 hrs in LH, 24-48 hrs post normo in OC): Additional Findings: Clonus -- sustained</t>
  </si>
  <si>
    <t>post_neuro_exam_clonus_sustained</t>
  </si>
  <si>
    <t>LH11CL_1</t>
  </si>
  <si>
    <t>OC11AFCL</t>
  </si>
  <si>
    <t>post_NeuroExamFistedHand</t>
  </si>
  <si>
    <t>24-48 Hrs after normothermia Neuro Exam (108-132 hrs in LH, 24-48 hrs post normo in OC): Additional Findings: Fisted hand</t>
  </si>
  <si>
    <t>post_neuro_exam_fisted_hand</t>
  </si>
  <si>
    <t>LH11FS_1</t>
  </si>
  <si>
    <t>OC11AFFH</t>
  </si>
  <si>
    <t>post_NeuroExamAbnormalMovement</t>
  </si>
  <si>
    <t>24-48 Hrs after normothermia Neuro Exam (108-132 hrs in LH, 24-48 hrs post normo in OC): Additional Findings: Abnormal Movements</t>
  </si>
  <si>
    <t>post_neuro_exam_abnormal_movement</t>
  </si>
  <si>
    <t>LH11MO_1</t>
  </si>
  <si>
    <t>OC11AFAM</t>
  </si>
  <si>
    <t>post_NeuroExamGagReflexAbsent</t>
  </si>
  <si>
    <t>24-48 Hrs after normothermia Neuro Exam (108-132 hrs in LH, 24-48 hrs post normo in OC): Additional Findings: Gag reflex absent</t>
  </si>
  <si>
    <t>post_neuro_exam_gag_reflex_absent</t>
  </si>
  <si>
    <t>LH11GA_1</t>
  </si>
  <si>
    <t>OC11AFGR</t>
  </si>
  <si>
    <t>post_NeuroExamHypertonia</t>
  </si>
  <si>
    <t>108-132 Hrs Neuro Exam: Hypertonia</t>
  </si>
  <si>
    <t>post_neuro_exam_hypertonia</t>
  </si>
  <si>
    <t>LH11HY_1</t>
  </si>
  <si>
    <t>post_NeuroExamAsymTonicNeckReflex</t>
  </si>
  <si>
    <t>post_neuro_exam_asym_tonic_neck_reflex</t>
  </si>
  <si>
    <t>OC11AFNR</t>
  </si>
  <si>
    <t>MRI</t>
  </si>
  <si>
    <t>OPTCID</t>
  </si>
  <si>
    <t>MRIAvailable</t>
  </si>
  <si>
    <t>was MRI available</t>
  </si>
  <si>
    <t>mri_available</t>
  </si>
  <si>
    <t>LM1AVAI</t>
  </si>
  <si>
    <t>OM1MRIA</t>
  </si>
  <si>
    <t>MRIAvailable_c</t>
  </si>
  <si>
    <t>mri_available_c</t>
  </si>
  <si>
    <t>OM1MRIA_code</t>
  </si>
  <si>
    <t>MRIObtain</t>
  </si>
  <si>
    <t>was MRI obtained</t>
  </si>
  <si>
    <t>mri_obtain</t>
  </si>
  <si>
    <t>LM1OBTA</t>
  </si>
  <si>
    <t>MRIObtainWindow</t>
  </si>
  <si>
    <t>MRI obtained window</t>
  </si>
  <si>
    <t>mri_obtain_window</t>
  </si>
  <si>
    <t>OM1MRIW</t>
  </si>
  <si>
    <t>MRIObtainWindow_c</t>
  </si>
  <si>
    <t>mri_obtain_window_c</t>
  </si>
  <si>
    <t>OM1MRIW_code</t>
  </si>
  <si>
    <t>MRIDate</t>
  </si>
  <si>
    <t>date of MRI</t>
  </si>
  <si>
    <t>mri_date</t>
  </si>
  <si>
    <t>LM1DATE</t>
  </si>
  <si>
    <t>MRITime</t>
  </si>
  <si>
    <t>time of MRI</t>
  </si>
  <si>
    <t>mri_time</t>
  </si>
  <si>
    <t>LM1TIME</t>
  </si>
  <si>
    <t>MRIObtainComment</t>
  </si>
  <si>
    <t>mri_obtain_comment</t>
  </si>
  <si>
    <t>OM1COMM</t>
  </si>
  <si>
    <t>MRISendRTIDate</t>
  </si>
  <si>
    <t>date sent to RTI</t>
  </si>
  <si>
    <t>mri_send_rti_date</t>
  </si>
  <si>
    <t>LM1SENT</t>
  </si>
  <si>
    <t>OM2RTSIDT</t>
  </si>
  <si>
    <t>MRIReceiveRTIDate</t>
  </si>
  <si>
    <t>date received at RTI</t>
  </si>
  <si>
    <t>mri_receive_rti_date</t>
  </si>
  <si>
    <t>OM2RTIRDT</t>
  </si>
  <si>
    <t>MRINoObtainReason</t>
  </si>
  <si>
    <t>reason of unable obtaining the de-identified MRI</t>
  </si>
  <si>
    <t>mri_no_obtain_reason</t>
  </si>
  <si>
    <t>LM1REAS</t>
  </si>
  <si>
    <t>OM1MRIR</t>
  </si>
  <si>
    <t>MRINoObtainReason_c</t>
  </si>
  <si>
    <t>mri_no_obtain_reason_c</t>
  </si>
  <si>
    <t>OM1MRIR_code</t>
  </si>
  <si>
    <t>MRINoObtainReasonText</t>
  </si>
  <si>
    <t>reason of unable obtaining the de-identified MRI - specific</t>
  </si>
  <si>
    <t>mri_no_obtain_reason_text</t>
  </si>
  <si>
    <t>OM1MRIS</t>
  </si>
  <si>
    <t>LM2DATE</t>
  </si>
  <si>
    <t>OM2MRIDT</t>
  </si>
  <si>
    <t>LM2TIME</t>
  </si>
  <si>
    <t>OM2MRITM</t>
  </si>
  <si>
    <t>MRIRead</t>
  </si>
  <si>
    <t>MRI read by site neuroradiologist?</t>
  </si>
  <si>
    <t>mri_read</t>
  </si>
  <si>
    <t>LM2READ</t>
  </si>
  <si>
    <t>MRIScore</t>
  </si>
  <si>
    <t>MRINRNPatternOfInjury</t>
  </si>
  <si>
    <t>MRI score</t>
  </si>
  <si>
    <t>mri_score</t>
  </si>
  <si>
    <t>LM2CLASS</t>
  </si>
  <si>
    <t>DateCreated</t>
  </si>
  <si>
    <t>DateComplete</t>
  </si>
  <si>
    <t>FormStatus</t>
  </si>
  <si>
    <t>KeyedUser</t>
  </si>
  <si>
    <t>MRIIteration</t>
  </si>
  <si>
    <t>MRI iteration</t>
  </si>
  <si>
    <t>mri_iteration</t>
  </si>
  <si>
    <t>Iteration</t>
  </si>
  <si>
    <t>MRIIncrement</t>
  </si>
  <si>
    <t>mri_increment</t>
  </si>
  <si>
    <t>Increment</t>
  </si>
  <si>
    <t>Site</t>
  </si>
  <si>
    <t>MRIID</t>
  </si>
  <si>
    <t>mriid</t>
  </si>
  <si>
    <t>LHMRIID</t>
  </si>
  <si>
    <t>LM3ID</t>
  </si>
  <si>
    <t>reader</t>
  </si>
  <si>
    <t>LM3READ</t>
  </si>
  <si>
    <t>OM3READR</t>
  </si>
  <si>
    <t>MRIReader</t>
  </si>
  <si>
    <t>mri_reader</t>
  </si>
  <si>
    <t>LM3READ_code</t>
  </si>
  <si>
    <t>OM3READR_code</t>
  </si>
  <si>
    <t>reader-adj</t>
  </si>
  <si>
    <t>OM3RDRSTAT</t>
  </si>
  <si>
    <t>reader-adj code</t>
  </si>
  <si>
    <t>OM3RDRSTAT_code</t>
  </si>
  <si>
    <t>reader-adj specify</t>
  </si>
  <si>
    <t>OM3RDRSTATSP</t>
  </si>
  <si>
    <t>MRIReadDate</t>
  </si>
  <si>
    <t>date of reading</t>
  </si>
  <si>
    <t>mri_read_date</t>
  </si>
  <si>
    <t>LM3RDATE</t>
  </si>
  <si>
    <t>OM3READD</t>
  </si>
  <si>
    <t>LM3MDATE</t>
  </si>
  <si>
    <t>OM3MRIDT</t>
  </si>
  <si>
    <t>MRIStrength_T</t>
  </si>
  <si>
    <t>MRI stength (T)</t>
  </si>
  <si>
    <t>mri_strength_t</t>
  </si>
  <si>
    <t>LM3MSTRH</t>
  </si>
  <si>
    <t>OM3MFS</t>
  </si>
  <si>
    <t>MRIStrength_c</t>
  </si>
  <si>
    <t>mri_strength_c</t>
  </si>
  <si>
    <t>LM3MSTRH_code</t>
  </si>
  <si>
    <t>MRIAdequateQuality</t>
  </si>
  <si>
    <t>adequate quality</t>
  </si>
  <si>
    <t>mri_adequate_quality</t>
  </si>
  <si>
    <t>LM3AQUAL</t>
  </si>
  <si>
    <t>OM3ADQL</t>
  </si>
  <si>
    <t>MRIAdequateQuality_c</t>
  </si>
  <si>
    <t>mri_adequate_quality_c</t>
  </si>
  <si>
    <t>LM3AQUAL_code</t>
  </si>
  <si>
    <t>OM3ADQL_code</t>
  </si>
  <si>
    <t>MRIT1Axial</t>
  </si>
  <si>
    <t>is T1 axial obtained</t>
  </si>
  <si>
    <t>mri_t1_axial</t>
  </si>
  <si>
    <t>LM3T1A</t>
  </si>
  <si>
    <t>OM3T1_1</t>
  </si>
  <si>
    <t>MRIT1Axial_c</t>
  </si>
  <si>
    <t>mri_t1_axial_c</t>
  </si>
  <si>
    <t>LM3T1A_code</t>
  </si>
  <si>
    <t>MRIT1Coronal</t>
  </si>
  <si>
    <t>is T1 coronal obtained</t>
  </si>
  <si>
    <t>mri_t1_coronal</t>
  </si>
  <si>
    <t>LM3T1C</t>
  </si>
  <si>
    <t>OM3T1_2</t>
  </si>
  <si>
    <t>MRIT1Coronal_c</t>
  </si>
  <si>
    <t>mri_t1_coronal_c</t>
  </si>
  <si>
    <t>LM3T1C_code</t>
  </si>
  <si>
    <t>MRIT1Sagittal</t>
  </si>
  <si>
    <t>is T1 sagittal obtained</t>
  </si>
  <si>
    <t>mri_t1_sagittal</t>
  </si>
  <si>
    <t>LM3T1S</t>
  </si>
  <si>
    <t>OM3T1_3</t>
  </si>
  <si>
    <t>MRIT1Sagittal_c</t>
  </si>
  <si>
    <t>mri_t1_sagittal_c</t>
  </si>
  <si>
    <t>LM3T1S_code</t>
  </si>
  <si>
    <t>MRIT1</t>
  </si>
  <si>
    <t xml:space="preserve">T1 - </t>
  </si>
  <si>
    <t>mri_t1</t>
  </si>
  <si>
    <t>OM3T1_</t>
  </si>
  <si>
    <t>MRIT2Axial</t>
  </si>
  <si>
    <t>T2 axial</t>
  </si>
  <si>
    <t>mri_t2_axial</t>
  </si>
  <si>
    <t>LM3T2A</t>
  </si>
  <si>
    <t>OM3T2_1</t>
  </si>
  <si>
    <t>MRIT2Axial_c</t>
  </si>
  <si>
    <t>mri_t2_axial_c</t>
  </si>
  <si>
    <t>LM3T2A_code</t>
  </si>
  <si>
    <t>MRIT2Coronal</t>
  </si>
  <si>
    <t>T2 coronal</t>
  </si>
  <si>
    <t>mri_t2_coronal</t>
  </si>
  <si>
    <t>LM3T2C</t>
  </si>
  <si>
    <t>OM3T2_2</t>
  </si>
  <si>
    <t>MRIT2Coronal_c</t>
  </si>
  <si>
    <t>mri_t2_coronal_c</t>
  </si>
  <si>
    <t>LM3T2C_code</t>
  </si>
  <si>
    <t>MRIT2Sagittal</t>
  </si>
  <si>
    <t>T2 sagittal</t>
  </si>
  <si>
    <t>mri_t2_sagittal</t>
  </si>
  <si>
    <t>LM3T2S</t>
  </si>
  <si>
    <t>OM3T2_3</t>
  </si>
  <si>
    <t>MRIT2Sagittal_c</t>
  </si>
  <si>
    <t>mri_t2_sagittal_c</t>
  </si>
  <si>
    <t>LM3T2S_code</t>
  </si>
  <si>
    <t>MRIT2</t>
  </si>
  <si>
    <t>T2 -</t>
  </si>
  <si>
    <t>mri_t2</t>
  </si>
  <si>
    <t>OM3T2_</t>
  </si>
  <si>
    <t>MRIT2FLAIRAxial</t>
  </si>
  <si>
    <t>T2 FLAIR - axial</t>
  </si>
  <si>
    <t>mri_t2_flair_axial</t>
  </si>
  <si>
    <t>LM3T2FLRA</t>
  </si>
  <si>
    <t>OM3T2FL_1</t>
  </si>
  <si>
    <t>MRIT2FLAIRAxial_c</t>
  </si>
  <si>
    <t>mri_t2_flair_axial_c</t>
  </si>
  <si>
    <t>LM3T2FLRA_code</t>
  </si>
  <si>
    <t>MRIT2FLAIRCoronal</t>
  </si>
  <si>
    <t>T2 FLAIR - coronal</t>
  </si>
  <si>
    <t>mri_t2_flair_coronal</t>
  </si>
  <si>
    <t>LM3T2FLRC</t>
  </si>
  <si>
    <t>OM3T2FL_2</t>
  </si>
  <si>
    <t>MRIT2FLAIRCoronal_c</t>
  </si>
  <si>
    <t>mri_t2_flair_coronal_c</t>
  </si>
  <si>
    <t>LM3T2FLRC_code</t>
  </si>
  <si>
    <t>MRIT2FLAIRSagittal</t>
  </si>
  <si>
    <t>T2 FLAIR - sagittal</t>
  </si>
  <si>
    <t>mri_t2_flair_sagittal</t>
  </si>
  <si>
    <t>LM3T2FLRS</t>
  </si>
  <si>
    <t>OM3T2FL_3</t>
  </si>
  <si>
    <t>MRIT2FLAIRSagittal_c</t>
  </si>
  <si>
    <t>mri_t2_flair_sagittal_c</t>
  </si>
  <si>
    <t>LM3T2FLRS_code</t>
  </si>
  <si>
    <t>MRIT2FLAIR</t>
  </si>
  <si>
    <t xml:space="preserve">T2 FLAIR - </t>
  </si>
  <si>
    <t>mri_t2_flair</t>
  </si>
  <si>
    <t>OM3T2FL_</t>
  </si>
  <si>
    <t>MRIGRESWIAxial</t>
  </si>
  <si>
    <t>GRE/SWI - axial</t>
  </si>
  <si>
    <t>mri_greswi_axial</t>
  </si>
  <si>
    <t>LM3GREA</t>
  </si>
  <si>
    <t>OM3GRESW_1</t>
  </si>
  <si>
    <t>MRIGRESWIAxial_c</t>
  </si>
  <si>
    <t>mri_greswi_axial_c</t>
  </si>
  <si>
    <t>LM3GREA_code</t>
  </si>
  <si>
    <t>MRIGRESWICoronal</t>
  </si>
  <si>
    <t>GRE/SWI - coronal</t>
  </si>
  <si>
    <t>mri_greswi_coronal</t>
  </si>
  <si>
    <t>LM3GREC</t>
  </si>
  <si>
    <t>OM3GRESW_2</t>
  </si>
  <si>
    <t>MRIGRESWICoronal_c</t>
  </si>
  <si>
    <t>mri_greswi_coronal_c</t>
  </si>
  <si>
    <t>LM3GREC_code</t>
  </si>
  <si>
    <t>MRIGRESWISagittal</t>
  </si>
  <si>
    <t>GRE/SWI - sagittal</t>
  </si>
  <si>
    <t>mri_greswi_sagittal</t>
  </si>
  <si>
    <t>LM3GRES</t>
  </si>
  <si>
    <t>OM3GRESW_3</t>
  </si>
  <si>
    <t>MRIGRESWISagittal_c</t>
  </si>
  <si>
    <t>mri_greswi_sagittal_c</t>
  </si>
  <si>
    <t>LM3GRES_code</t>
  </si>
  <si>
    <t>MRIGRESWI</t>
  </si>
  <si>
    <t>GRE/SWI -</t>
  </si>
  <si>
    <t>mri_greswi</t>
  </si>
  <si>
    <t>OM3GRESW_</t>
  </si>
  <si>
    <t>MRISPGRAxial</t>
  </si>
  <si>
    <t>SPGR - axial</t>
  </si>
  <si>
    <t>mri_spgr_axial</t>
  </si>
  <si>
    <t>LM3SPGRA</t>
  </si>
  <si>
    <t>OM3SPGR_1</t>
  </si>
  <si>
    <t>MRISPGRAxial_c</t>
  </si>
  <si>
    <t>mri_spgr_axial_c</t>
  </si>
  <si>
    <t>LM3SPGRA_code</t>
  </si>
  <si>
    <t>MRISPGRCoronal</t>
  </si>
  <si>
    <t>SPGR - coronal</t>
  </si>
  <si>
    <t>mri_spgr_coronal</t>
  </si>
  <si>
    <t>LM3SPGRC</t>
  </si>
  <si>
    <t>OM3SPGR_2</t>
  </si>
  <si>
    <t>MRISPGRCoronal_c</t>
  </si>
  <si>
    <t>mri_spgr_coronal_c</t>
  </si>
  <si>
    <t>LM3SPGRC_code</t>
  </si>
  <si>
    <t>MRISPGRSagittal</t>
  </si>
  <si>
    <t>SPGR - sagittal</t>
  </si>
  <si>
    <t>mri_spgr_sagittal</t>
  </si>
  <si>
    <t>LM3SPGRS</t>
  </si>
  <si>
    <t>OM3SPGR_3</t>
  </si>
  <si>
    <t>MRISPGRSagittal_c</t>
  </si>
  <si>
    <t>mri_spgr_sagittal_c</t>
  </si>
  <si>
    <t>LM3SPGRS_code</t>
  </si>
  <si>
    <t>MRISPGR</t>
  </si>
  <si>
    <t>SPGR -</t>
  </si>
  <si>
    <t>mri_spgr</t>
  </si>
  <si>
    <t>OM3SPGR_</t>
  </si>
  <si>
    <t>MRIDWI</t>
  </si>
  <si>
    <t>DWI</t>
  </si>
  <si>
    <t>mri_dwi</t>
  </si>
  <si>
    <t>LM3DWI</t>
  </si>
  <si>
    <t>OM3DWI</t>
  </si>
  <si>
    <t>MRIDWI_c</t>
  </si>
  <si>
    <t>mri_dwi_c</t>
  </si>
  <si>
    <t>LM3DWI_code</t>
  </si>
  <si>
    <t>OM3DWI_code</t>
  </si>
  <si>
    <t>MRIADC</t>
  </si>
  <si>
    <t>ADC</t>
  </si>
  <si>
    <t>mri_adc</t>
  </si>
  <si>
    <t>LM3ADC</t>
  </si>
  <si>
    <t>OM3ADC</t>
  </si>
  <si>
    <t>MRIADC_c</t>
  </si>
  <si>
    <t>mri_adc_c</t>
  </si>
  <si>
    <t>LM3ADC_code</t>
  </si>
  <si>
    <t>OM3ADC_code</t>
  </si>
  <si>
    <t>MRIMRS</t>
  </si>
  <si>
    <t>MRS</t>
  </si>
  <si>
    <t>mri_mrs</t>
  </si>
  <si>
    <t>OM3MRS</t>
  </si>
  <si>
    <t>MRIMRS_c</t>
  </si>
  <si>
    <t>mri_mrs_c</t>
  </si>
  <si>
    <t>OM3MRS_code</t>
  </si>
  <si>
    <t>MRIOther</t>
  </si>
  <si>
    <t>mri_other</t>
  </si>
  <si>
    <t>LM3OTH</t>
  </si>
  <si>
    <t>OM3OTHR</t>
  </si>
  <si>
    <t>MRIOther_c</t>
  </si>
  <si>
    <t>mri_other_c</t>
  </si>
  <si>
    <t>LM3OTH_code</t>
  </si>
  <si>
    <t>OM3OTHR_code</t>
  </si>
  <si>
    <t>MRIOtherText</t>
  </si>
  <si>
    <t>other - specify</t>
  </si>
  <si>
    <t>mri_other_text</t>
  </si>
  <si>
    <t>LM3OTHS</t>
  </si>
  <si>
    <t>OM3OTHS</t>
  </si>
  <si>
    <t>MRIOverallDiagnosis</t>
  </si>
  <si>
    <t>overall diagnosis</t>
  </si>
  <si>
    <t>mri_overall_diagnosis</t>
  </si>
  <si>
    <t>LM3OVERD</t>
  </si>
  <si>
    <t>OM3OVERD</t>
  </si>
  <si>
    <t>MRIOverallDiagnosis_c</t>
  </si>
  <si>
    <t>mri_overall_diagnosis_c</t>
  </si>
  <si>
    <t>LM3OVERD_code</t>
  </si>
  <si>
    <t>OM3OVERD_code</t>
  </si>
  <si>
    <t>MRIOverallDiagnosisText</t>
  </si>
  <si>
    <t>overall diagnosis - normal with other findings (comments)</t>
  </si>
  <si>
    <t>mri_overall_diagnosis_text</t>
  </si>
  <si>
    <t>LM3OVERDC</t>
  </si>
  <si>
    <t>MRIAbnormal</t>
  </si>
  <si>
    <t>signal abnormal</t>
  </si>
  <si>
    <t>mri_abnormal</t>
  </si>
  <si>
    <t>LM3SABNM</t>
  </si>
  <si>
    <t>OM3SIGABN</t>
  </si>
  <si>
    <t>MRIAbnormal_c</t>
  </si>
  <si>
    <t>mri_abnormal_c</t>
  </si>
  <si>
    <t>LM3SABNM_code</t>
  </si>
  <si>
    <t>OM3SIGABN_code</t>
  </si>
  <si>
    <t>MRILesionNumber</t>
  </si>
  <si>
    <t>abnormal - lesion number</t>
  </si>
  <si>
    <t>mri_lesion_number</t>
  </si>
  <si>
    <t>LH: in lhmr03_b.csv</t>
  </si>
  <si>
    <t>LM3LSNM</t>
  </si>
  <si>
    <t>OM3LESNM</t>
  </si>
  <si>
    <t>MRILesionHemisphere</t>
  </si>
  <si>
    <t>abnormal - lesion hemisphere</t>
  </si>
  <si>
    <t>mri_lesion_hemisphere</t>
  </si>
  <si>
    <t>LM3HEMI</t>
  </si>
  <si>
    <t>OM3LESHS</t>
  </si>
  <si>
    <t>MRILesionHemisphere_c</t>
  </si>
  <si>
    <t>mri_lesion_hemisphere_c</t>
  </si>
  <si>
    <t>LM3HEMI_code</t>
  </si>
  <si>
    <t>OM3LESHS_code</t>
  </si>
  <si>
    <t>MRIAbnormalRegion1</t>
  </si>
  <si>
    <t>MRIAbnormalRegion</t>
  </si>
  <si>
    <t>abnormal - region - 1</t>
  </si>
  <si>
    <t>mri_abnormal_region1</t>
  </si>
  <si>
    <t>LM3REG1</t>
  </si>
  <si>
    <t>OM3LESRG</t>
  </si>
  <si>
    <t>MRIAbnormalRegion1_c</t>
  </si>
  <si>
    <t>mri_abnormal_region1c</t>
  </si>
  <si>
    <t>LM3REG1_code</t>
  </si>
  <si>
    <t>OM3LESRG_code</t>
  </si>
  <si>
    <t>MRIAbnormalRegion2</t>
  </si>
  <si>
    <t>abnormal - region - 2</t>
  </si>
  <si>
    <t>mri_abnormal_region2</t>
  </si>
  <si>
    <t>LM3REG2</t>
  </si>
  <si>
    <t>MRIAbnormalRegion2_c</t>
  </si>
  <si>
    <t>mri_abnormal_region2c</t>
  </si>
  <si>
    <t>LM3REG2_code</t>
  </si>
  <si>
    <t>MRIAbnormalRegion3</t>
  </si>
  <si>
    <t>abnormal - region - 3</t>
  </si>
  <si>
    <t>mri_abnormal_region3</t>
  </si>
  <si>
    <t>LM3REG3</t>
  </si>
  <si>
    <t>MRIAbnormalRegion3_c</t>
  </si>
  <si>
    <t>mri_abnormal_region3c</t>
  </si>
  <si>
    <t>LM3REG3_code</t>
  </si>
  <si>
    <t>MRIAbnormalSide</t>
  </si>
  <si>
    <t>mri_abnormal_side</t>
  </si>
  <si>
    <t>LM3SIDE</t>
  </si>
  <si>
    <t>OM3LESSD</t>
  </si>
  <si>
    <t>MRIAbnormalSide_c</t>
  </si>
  <si>
    <t>mri_abnormal_side_c</t>
  </si>
  <si>
    <t>LM3SIDE_code</t>
  </si>
  <si>
    <t>OM3LESSD_code</t>
  </si>
  <si>
    <t>MRIAbnormalGrayMatterWhiteMatter</t>
  </si>
  <si>
    <t>MRIAbnormalGMWM</t>
  </si>
  <si>
    <t>abnormal - gray matter / white matter</t>
  </si>
  <si>
    <t>mri_abnormal_gray_matter_white_matter</t>
  </si>
  <si>
    <t>LM3GMWM</t>
  </si>
  <si>
    <t>OM3LESGM</t>
  </si>
  <si>
    <t>MRIAbnormalGrayMatterWhiteMatter_c</t>
  </si>
  <si>
    <t>mri_abnormal_gray_matter_white_matter_c</t>
  </si>
  <si>
    <t>LM3GMWM_code</t>
  </si>
  <si>
    <t>OM3LESGM_code</t>
  </si>
  <si>
    <t>MRIAbnormalExtent1</t>
  </si>
  <si>
    <t>MRIAbnormalExtent</t>
  </si>
  <si>
    <t>abnormal - extent</t>
  </si>
  <si>
    <t>mri_abnormal_extent1</t>
  </si>
  <si>
    <t>LM3EXT1</t>
  </si>
  <si>
    <t>OM3LESEX</t>
  </si>
  <si>
    <t>MRIAbnormalExtent1_c</t>
  </si>
  <si>
    <t>mri_abnormal_extent1c</t>
  </si>
  <si>
    <t>LM3EXT1_code</t>
  </si>
  <si>
    <t>OM3LESEX_code</t>
  </si>
  <si>
    <t>MRIAbnormalExtent2</t>
  </si>
  <si>
    <t>mri_abnormal_extent2</t>
  </si>
  <si>
    <t>LM3EXT2</t>
  </si>
  <si>
    <t>MRIAbnormalExtent2_c</t>
  </si>
  <si>
    <t>mri_abnormal_extent2c</t>
  </si>
  <si>
    <t>LM3EXT2_code</t>
  </si>
  <si>
    <t>MRIAbnormalType</t>
  </si>
  <si>
    <t>abnormal - type</t>
  </si>
  <si>
    <t>mri_abnormal_type</t>
  </si>
  <si>
    <t>LM3TYPE</t>
  </si>
  <si>
    <t>OM3LESTY</t>
  </si>
  <si>
    <t>MRIAbnormalType_c</t>
  </si>
  <si>
    <t>mri_abnormal_type_c</t>
  </si>
  <si>
    <t>LM3TYPE_code</t>
  </si>
  <si>
    <t>OM3LESTY_code</t>
  </si>
  <si>
    <t>MRIAbnormalType2</t>
  </si>
  <si>
    <t>mri_abnormal_type2</t>
  </si>
  <si>
    <t>LM3TYPE2</t>
  </si>
  <si>
    <t>MRIAbnormalType2_c</t>
  </si>
  <si>
    <t>mri_abnormal_type2c</t>
  </si>
  <si>
    <t>LM3TYPE2_code</t>
  </si>
  <si>
    <t>MRIAbnormalComment</t>
  </si>
  <si>
    <t>abnormal - comments</t>
  </si>
  <si>
    <t>mri_abnormal_comment</t>
  </si>
  <si>
    <t>LM3COMM</t>
  </si>
  <si>
    <t>OM3LESCM</t>
  </si>
  <si>
    <t>MRICerebralAtrophy</t>
  </si>
  <si>
    <t>cerebral atrophy</t>
  </si>
  <si>
    <t>mri_cerebral_atrophy</t>
  </si>
  <si>
    <t>LM3ATROP</t>
  </si>
  <si>
    <t>OM3CERAT</t>
  </si>
  <si>
    <t>MRICerebralAtrophy_c</t>
  </si>
  <si>
    <t>mri_cerebral_atrophy_c</t>
  </si>
  <si>
    <t>LM3ATROP_code</t>
  </si>
  <si>
    <t>OM3CERAT_code</t>
  </si>
  <si>
    <t>MRICerebralAtrophyGlobalLocal</t>
  </si>
  <si>
    <t>mri_cerebral_atrophy_global_local</t>
  </si>
  <si>
    <t>OM3CERATGL</t>
  </si>
  <si>
    <t>MRICerebralAtrophyGlobalLocal_c</t>
  </si>
  <si>
    <t>mri_cerebral_atrophy_global_local_c</t>
  </si>
  <si>
    <t>OM3CERATGL_code</t>
  </si>
  <si>
    <t>MRICerebralAtrophyRegion</t>
  </si>
  <si>
    <t>mri_cerebral_atrophy_region</t>
  </si>
  <si>
    <t>LM3ATROPR</t>
  </si>
  <si>
    <t>OM3CERRG</t>
  </si>
  <si>
    <t>MRICerebralAtrophyQualAssessCC</t>
  </si>
  <si>
    <t>MRISeverity</t>
  </si>
  <si>
    <t>cerebral atrophy - qualitative assessment of CC (corpus callosum) thining</t>
  </si>
  <si>
    <t>mri_cerebral_atrophy_qual_assess_cc</t>
  </si>
  <si>
    <t>LM3QASSCC</t>
  </si>
  <si>
    <t>OM3QACCT</t>
  </si>
  <si>
    <t>MRICerebralAtrophyQualAssessCC_c</t>
  </si>
  <si>
    <t>mri_cerebral_atrophy_qual_assess_cc_c</t>
  </si>
  <si>
    <t>LM3QASSCC_code</t>
  </si>
  <si>
    <t>OM3QACCT_code</t>
  </si>
  <si>
    <t>MRICerebralAtrophyQualAssessVDLeft</t>
  </si>
  <si>
    <t>cerebral atrophy - qualitative assessment of VD (ventricular dilation) - left</t>
  </si>
  <si>
    <t>mri_cerebral_atrophy_qual_assess_vd_left</t>
  </si>
  <si>
    <t>LM3QASSVDL</t>
  </si>
  <si>
    <t>OM3QAVDL</t>
  </si>
  <si>
    <t>MRICerebralAtrophyQualAssessVDLeft_c</t>
  </si>
  <si>
    <t>mri_cerebral_atrophy_qual_assess_vd_left_c</t>
  </si>
  <si>
    <t>LM3QASSVDL_code</t>
  </si>
  <si>
    <t>OM3QAVDL_code</t>
  </si>
  <si>
    <t>MRICerebralAtrophyQualAssessVDRight</t>
  </si>
  <si>
    <t>cerebral atrophy - qualitative assessment of VD (ventricular dilation) - right</t>
  </si>
  <si>
    <t>mri_cerebral_atrophy_qual_assess_vd_right</t>
  </si>
  <si>
    <t>LM3QASSVDR</t>
  </si>
  <si>
    <t>OM3QAVDR</t>
  </si>
  <si>
    <t>MRICerebralAtrophyQualAssessVDRight_c</t>
  </si>
  <si>
    <t>mri_cerebral_atrophy_qual_assess_vd_right_c</t>
  </si>
  <si>
    <t>LM3QASSVDR_code</t>
  </si>
  <si>
    <t>OM3QAVDR_code</t>
  </si>
  <si>
    <t>MRIInfarction</t>
  </si>
  <si>
    <t>infarction</t>
  </si>
  <si>
    <t>mri_infarction</t>
  </si>
  <si>
    <t>LM3INFAR</t>
  </si>
  <si>
    <t>OM3INFAR</t>
  </si>
  <si>
    <t>MRIInfarction_c</t>
  </si>
  <si>
    <t>mri_infarction_c</t>
  </si>
  <si>
    <t>LM3INFAR_code</t>
  </si>
  <si>
    <t>OM3INFAR_code</t>
  </si>
  <si>
    <t>MRIInfarctionAterialTerritoryLeft</t>
  </si>
  <si>
    <t>cerebral infarction - arterial territory - left</t>
  </si>
  <si>
    <t>mri_infarction_aterial_territory_left</t>
  </si>
  <si>
    <t>LM3INFARL</t>
  </si>
  <si>
    <t>OM3INFCAT_1</t>
  </si>
  <si>
    <t>MRIInfarctionAterialTerritoryLeft_c</t>
  </si>
  <si>
    <t>mri_infarction_aterial_territory_left_c</t>
  </si>
  <si>
    <t>LM3INFARL_code</t>
  </si>
  <si>
    <t>MRIInfarctionAterialTerritoryRight</t>
  </si>
  <si>
    <t>cerebral infarction - arterial territory - right</t>
  </si>
  <si>
    <t>mri_infarction_aterial_territory_right</t>
  </si>
  <si>
    <t>LM3INFARR</t>
  </si>
  <si>
    <t>OM3INFCAT_2</t>
  </si>
  <si>
    <t>MRIInfarctionAterialTerritoryRight_c</t>
  </si>
  <si>
    <t>mri_infarction_aterial_territory_right_c</t>
  </si>
  <si>
    <t>LM3INFARR_code</t>
  </si>
  <si>
    <t>MRIInfarctionWatershedLeft</t>
  </si>
  <si>
    <t>cerebral infarction - watershed area - left</t>
  </si>
  <si>
    <t>mri_infarction_watershed_left</t>
  </si>
  <si>
    <t>LM3WSHEDL</t>
  </si>
  <si>
    <t>MRIInfarctionWatershedLeft_c</t>
  </si>
  <si>
    <t>mri_infarction_watershed_left_c</t>
  </si>
  <si>
    <t>LM3WSHEDL_code</t>
  </si>
  <si>
    <t>MRIInfarctionWatershedRight</t>
  </si>
  <si>
    <t>cerebral infarction - watershed area - right</t>
  </si>
  <si>
    <t>mri_infarction_watershed_right</t>
  </si>
  <si>
    <t>LM3WSHEDR</t>
  </si>
  <si>
    <t>MRIInfarctionWatershedRight_c</t>
  </si>
  <si>
    <t>mri_infarction_watershed_right_c</t>
  </si>
  <si>
    <t>LM3WSHEDR_code</t>
  </si>
  <si>
    <t>MRIMidlineShift</t>
  </si>
  <si>
    <t>midline shift</t>
  </si>
  <si>
    <t>mri_midline_shift</t>
  </si>
  <si>
    <t>LM3MSHIFT</t>
  </si>
  <si>
    <t>OM3MIDSH</t>
  </si>
  <si>
    <t>MRIMidlineShift_c</t>
  </si>
  <si>
    <t>mri_midline_shift_c</t>
  </si>
  <si>
    <t>LM3MSHIFT_code</t>
  </si>
  <si>
    <t>OM3MIDSH_code</t>
  </si>
  <si>
    <t>MRIBGT</t>
  </si>
  <si>
    <t>BGT (basal ganglia - thalamus) classification</t>
  </si>
  <si>
    <t>mri_bgt</t>
  </si>
  <si>
    <t>LM3BGTCL</t>
  </si>
  <si>
    <t>OM3BGT</t>
  </si>
  <si>
    <t>MRIBGT_c</t>
  </si>
  <si>
    <t>mri_bgt_c</t>
  </si>
  <si>
    <t>LM3BGTCL_code</t>
  </si>
  <si>
    <t>OM3BGT_code</t>
  </si>
  <si>
    <t>MRIPLIC</t>
  </si>
  <si>
    <t>MRIALICPLICSeverity</t>
  </si>
  <si>
    <t>PLIC (posterior limb of internal capsule) classification</t>
  </si>
  <si>
    <t>mri_plic</t>
  </si>
  <si>
    <t>LM3PLICCL</t>
  </si>
  <si>
    <t>OM3PLIC</t>
  </si>
  <si>
    <t>MRIPLIC_c</t>
  </si>
  <si>
    <t>mri_plic_c</t>
  </si>
  <si>
    <t>LM3PLICCL_code</t>
  </si>
  <si>
    <t>OM3PLIC_code</t>
  </si>
  <si>
    <t>MRIALIC</t>
  </si>
  <si>
    <t>ALIC (anterior limb of internal capsule) classification</t>
  </si>
  <si>
    <t>mri_alic</t>
  </si>
  <si>
    <t>LM3ALICCL</t>
  </si>
  <si>
    <t>MRIALIC_c</t>
  </si>
  <si>
    <t>mri_alic_c</t>
  </si>
  <si>
    <t>LM3ALICCL_code</t>
  </si>
  <si>
    <t>MRIWatershed</t>
  </si>
  <si>
    <t>watershed area (between vascular zones)</t>
  </si>
  <si>
    <t>mri_watershed</t>
  </si>
  <si>
    <t>LM3WSHEDA</t>
  </si>
  <si>
    <t>OM3WATER</t>
  </si>
  <si>
    <t>MRIWatershed_c</t>
  </si>
  <si>
    <t>mri_watershed_c</t>
  </si>
  <si>
    <t>LM3WSHEDA_code</t>
  </si>
  <si>
    <t>OM3WATER_code</t>
  </si>
  <si>
    <t>MRIWhiteMatterInjury</t>
  </si>
  <si>
    <t>MRIInjurySeverity</t>
  </si>
  <si>
    <t>white matter injury</t>
  </si>
  <si>
    <t>mri_white_matter_injury</t>
  </si>
  <si>
    <t>LM3WMINJ</t>
  </si>
  <si>
    <t>OM3WMI</t>
  </si>
  <si>
    <t>MRIWhiteMatterInjury_c</t>
  </si>
  <si>
    <t>mri_white_matter_injury_c</t>
  </si>
  <si>
    <t>LM3WMINJ_code</t>
  </si>
  <si>
    <t>OM3WMI_code</t>
  </si>
  <si>
    <t>MRIFocalCorticalInjury</t>
  </si>
  <si>
    <t>focal cortical injury</t>
  </si>
  <si>
    <t>mri_focal_cortical_injury</t>
  </si>
  <si>
    <t>LM3FCINJ</t>
  </si>
  <si>
    <t>MRIFocalCorticalInjury_c</t>
  </si>
  <si>
    <t>mri_focal_cortical_injury_c</t>
  </si>
  <si>
    <t>LM3FCINJ_code</t>
  </si>
  <si>
    <t>NICHD NRN Pattern of injury</t>
  </si>
  <si>
    <t>mri_nrn_pattern_of_injury</t>
  </si>
  <si>
    <t>LM3PTINJ</t>
  </si>
  <si>
    <t>OM3PATINJ</t>
  </si>
  <si>
    <t>MRINRNPatternOfInjury_c</t>
  </si>
  <si>
    <t>mri_nrn_pattern_of_injury_c</t>
  </si>
  <si>
    <t>LM3PTINJ_code</t>
  </si>
  <si>
    <t>OM3PATINJ_code</t>
  </si>
  <si>
    <t>MRINRNPatternOfInjuryExtent</t>
  </si>
  <si>
    <t>NICHD NRN Pattern of injury - extent</t>
  </si>
  <si>
    <t>mri_nrn_pattern_of_injury_extent</t>
  </si>
  <si>
    <t>OM3EXTENT</t>
  </si>
  <si>
    <t>MRINRNPatternOfInjuryExtent_c</t>
  </si>
  <si>
    <t>mri_nrn_pattern_of_injury_extent_c</t>
  </si>
  <si>
    <t>OM3EXTENT_code</t>
  </si>
  <si>
    <t>MRINRNPatternOfInjuryLateral</t>
  </si>
  <si>
    <t>NICHD NRN Pattern of injury - lateral</t>
  </si>
  <si>
    <t>mri_nrn_pattern_of_injury_lateral</t>
  </si>
  <si>
    <t>OM3LATR</t>
  </si>
  <si>
    <t>MRINRNPatternOfInjuryLateral_c</t>
  </si>
  <si>
    <t>mri_nrn_pattern_of_injury_lateral_c</t>
  </si>
  <si>
    <t>OM3LATR_code</t>
  </si>
  <si>
    <t>MRIComment</t>
  </si>
  <si>
    <t>comments</t>
  </si>
  <si>
    <t>mri_comment</t>
  </si>
  <si>
    <t>LM3COMMS</t>
  </si>
  <si>
    <t>OM3COMM</t>
  </si>
  <si>
    <t>NICU Discharge</t>
  </si>
  <si>
    <t>Status</t>
  </si>
  <si>
    <t>status</t>
  </si>
  <si>
    <t>status of the infant</t>
  </si>
  <si>
    <t>OC: from dischargeStatus</t>
  </si>
  <si>
    <t>LH12STAT</t>
  </si>
  <si>
    <t>statusDate</t>
  </si>
  <si>
    <t>date status</t>
  </si>
  <si>
    <t>status_date</t>
  </si>
  <si>
    <t>LH: from LH12DCDT, LH12TRDT, LH12DTDT</t>
  </si>
  <si>
    <t>OC13SDAT</t>
  </si>
  <si>
    <t>dischargeStatus</t>
  </si>
  <si>
    <t>state of the infant at discharge</t>
  </si>
  <si>
    <t>discharge_status</t>
  </si>
  <si>
    <t>LH13STAT</t>
  </si>
  <si>
    <t>OC13STAT</t>
  </si>
  <si>
    <t>dischargeDate</t>
  </si>
  <si>
    <t>date at discharge</t>
  </si>
  <si>
    <t>discharge_date</t>
  </si>
  <si>
    <t>LH12DCDT</t>
  </si>
  <si>
    <t>OC13DDAT</t>
  </si>
  <si>
    <t>dischargeWeight_g</t>
  </si>
  <si>
    <t>weight at discharge (gms)</t>
  </si>
  <si>
    <t>discharge_weight_g</t>
  </si>
  <si>
    <t>LH12DCWT</t>
  </si>
  <si>
    <t>OC13WGHT</t>
  </si>
  <si>
    <t>dischargeLength_cm</t>
  </si>
  <si>
    <t>lenght at discharge (cm)</t>
  </si>
  <si>
    <t>discharge_length_cm</t>
  </si>
  <si>
    <t>LH12DCLN</t>
  </si>
  <si>
    <t>OC13LGTH</t>
  </si>
  <si>
    <t>dischargeHeadCircumference_cm</t>
  </si>
  <si>
    <t>head circumference at discharge (cm)</t>
  </si>
  <si>
    <t>discharge_head_circumference_cm</t>
  </si>
  <si>
    <t>LH12DCHC</t>
  </si>
  <si>
    <t>OC13CIRC</t>
  </si>
  <si>
    <t>transferReason</t>
  </si>
  <si>
    <t>reason for transfer</t>
  </si>
  <si>
    <t>transfer_reason</t>
  </si>
  <si>
    <t>LH12TRRS</t>
  </si>
  <si>
    <t>OC13RTRS</t>
  </si>
  <si>
    <t>transferDate</t>
  </si>
  <si>
    <t>date at transfer</t>
  </si>
  <si>
    <t>transfer_date</t>
  </si>
  <si>
    <t>LH12TRDT</t>
  </si>
  <si>
    <t>transferWeight_g</t>
  </si>
  <si>
    <t>weight at transfer (gms)</t>
  </si>
  <si>
    <t>transfer_weight_g</t>
  </si>
  <si>
    <t>OC: computed from dischargeWeight_g</t>
  </si>
  <si>
    <t>LH12TRWT</t>
  </si>
  <si>
    <t>transferLength_cm</t>
  </si>
  <si>
    <t>lenght at transfer (cm)</t>
  </si>
  <si>
    <t>transfer_length_cm</t>
  </si>
  <si>
    <t>OC: computed from dischargeLength_cm</t>
  </si>
  <si>
    <t>LH12TRLN</t>
  </si>
  <si>
    <t>transferHeadCircumference_cm</t>
  </si>
  <si>
    <t>head circumference at transfer (cm)</t>
  </si>
  <si>
    <t>transfer_head_circumference_cm</t>
  </si>
  <si>
    <t>OC: computed from dischargeHeadCircumference_cm</t>
  </si>
  <si>
    <t>LH12TRHC</t>
  </si>
  <si>
    <t>transferOutcome</t>
  </si>
  <si>
    <t>outcome of transfer</t>
  </si>
  <si>
    <t>transfer_outcome</t>
  </si>
  <si>
    <t>LH12TROU</t>
  </si>
  <si>
    <t>OC13OUTC</t>
  </si>
  <si>
    <t>homeTherapyStatus</t>
  </si>
  <si>
    <t>home therapy information</t>
  </si>
  <si>
    <t>home_therapy_status</t>
  </si>
  <si>
    <t>OC: from Home Therapy</t>
  </si>
  <si>
    <t>LH12HTHE</t>
  </si>
  <si>
    <t>homeTherapyVentilator</t>
  </si>
  <si>
    <t>ventilator?</t>
  </si>
  <si>
    <t>home_therapy_ventilator</t>
  </si>
  <si>
    <t>LH12HTVN</t>
  </si>
  <si>
    <t>homeTherapyOxygen</t>
  </si>
  <si>
    <t>oxygen?</t>
  </si>
  <si>
    <t>home_therapy_oxygen</t>
  </si>
  <si>
    <t>LH12HTO2</t>
  </si>
  <si>
    <t>homeTherapyGavageTubeFeed</t>
  </si>
  <si>
    <t>gavage tube feeding?</t>
  </si>
  <si>
    <t>home_therapy_gavage_tube_feed</t>
  </si>
  <si>
    <t>LH12HTGV</t>
  </si>
  <si>
    <t>homeTherapyGastrostomyTubeFeed</t>
  </si>
  <si>
    <t>gastrostomy tube feeding?</t>
  </si>
  <si>
    <t>home_therapy_gastrostomy_tube_feed</t>
  </si>
  <si>
    <t>LH12HTGS</t>
  </si>
  <si>
    <t>homeTherapyTemperatureBlanket</t>
  </si>
  <si>
    <t>temperature blanket?</t>
  </si>
  <si>
    <t>home_therapy_temperature_blanket</t>
  </si>
  <si>
    <t>LH12HTTB</t>
  </si>
  <si>
    <t>homeTherapyAnticonvulsantMedication</t>
  </si>
  <si>
    <t>anticonvulsant medication?</t>
  </si>
  <si>
    <t>home_therapy_anticonvulsant_medication</t>
  </si>
  <si>
    <t>LH12HTAM</t>
  </si>
  <si>
    <t>homeTherapyOther</t>
  </si>
  <si>
    <t>home_therapy_other</t>
  </si>
  <si>
    <t>LH12HTOT</t>
  </si>
  <si>
    <t>homeTherapyOtherText</t>
  </si>
  <si>
    <t>home_therapy_other_text</t>
  </si>
  <si>
    <t>LH12HTOS</t>
  </si>
  <si>
    <t>deathDate</t>
  </si>
  <si>
    <t>date of death</t>
  </si>
  <si>
    <t>death_date</t>
  </si>
  <si>
    <t>LH12DTDT</t>
  </si>
  <si>
    <t>OC13DEDA</t>
  </si>
  <si>
    <t>deathTime</t>
  </si>
  <si>
    <t>time of death</t>
  </si>
  <si>
    <t>death_time</t>
  </si>
  <si>
    <t>LH12DTTM</t>
  </si>
  <si>
    <t>OC13DETM</t>
  </si>
  <si>
    <t>deathAutopsy</t>
  </si>
  <si>
    <t>autopsy performed?</t>
  </si>
  <si>
    <t>death_autopsy</t>
  </si>
  <si>
    <t>LH12DTAU</t>
  </si>
  <si>
    <t>OC13DEAP</t>
  </si>
  <si>
    <t>deathCause</t>
  </si>
  <si>
    <t>cause of death</t>
  </si>
  <si>
    <t>death_cause</t>
  </si>
  <si>
    <t>LH12DTCA</t>
  </si>
  <si>
    <t>OC13COD</t>
  </si>
  <si>
    <t>deathCauseText</t>
  </si>
  <si>
    <t>cause of death specified</t>
  </si>
  <si>
    <t>death_cause_text</t>
  </si>
  <si>
    <t>LH12DTSP</t>
  </si>
  <si>
    <t>OC13CODS</t>
  </si>
  <si>
    <t>deathSrc</t>
  </si>
  <si>
    <t>source of information of death</t>
  </si>
  <si>
    <t>death_src</t>
  </si>
  <si>
    <t>LH12DTSR</t>
  </si>
  <si>
    <t>OC13SOI</t>
  </si>
  <si>
    <t>dischargeNeuroExam</t>
  </si>
  <si>
    <t>discharge_neuro_exam</t>
  </si>
  <si>
    <t>dischargeNeuroExamStatus</t>
  </si>
  <si>
    <t>Discharge/Death Exam Situation Code: neuro exam at death/discharge?</t>
  </si>
  <si>
    <t>discharge_neuro_exam_status</t>
  </si>
  <si>
    <t>OC11EXCO</t>
  </si>
  <si>
    <t>dischargeNeuroExamDate</t>
  </si>
  <si>
    <t>Discharge Neuro Exam:  Date</t>
  </si>
  <si>
    <t>discharge_neuro_exam_date</t>
  </si>
  <si>
    <t>LH11DT_2</t>
  </si>
  <si>
    <t>dischargeNeuroExamTime</t>
  </si>
  <si>
    <t>Discharge Neuro Exam:  Time</t>
  </si>
  <si>
    <t>discharge_neuro_exam_time</t>
  </si>
  <si>
    <t>LH11TM_2</t>
  </si>
  <si>
    <t>dischargeNeuroExamLevelConsciousness</t>
  </si>
  <si>
    <t>Discharge Neuro Exam:  Level of Consciousness</t>
  </si>
  <si>
    <t>discharge_neuro_exam_level_consciousness</t>
  </si>
  <si>
    <t>LH11LC_2</t>
  </si>
  <si>
    <t>dischargeNeuroExamSpontaneousActivity</t>
  </si>
  <si>
    <t>Discharge Neuro Exam:  Spontaneous Activity</t>
  </si>
  <si>
    <t>discharge_neuro_exam_spontaneous_activity</t>
  </si>
  <si>
    <t>LH11SP_2</t>
  </si>
  <si>
    <t>dischargeNeuroExamPosture</t>
  </si>
  <si>
    <t>Discharge Neuro Exam:  Posture</t>
  </si>
  <si>
    <t>discharge_neuro_exam_posture</t>
  </si>
  <si>
    <t>LH11PO_2</t>
  </si>
  <si>
    <t>dischargeNeuroExamTone</t>
  </si>
  <si>
    <t>Discharge Neuro Exam:  Decreased Tone (hypotonia 2 or 3)</t>
  </si>
  <si>
    <t>discharge_neuro_exam_tone</t>
  </si>
  <si>
    <t>LH11TO_2</t>
  </si>
  <si>
    <t>dischargeNeuroExamSuck</t>
  </si>
  <si>
    <t>Discharge Neuro Exam:  Suck</t>
  </si>
  <si>
    <t>discharge_neuro_exam_suck</t>
  </si>
  <si>
    <t>LH11SC_2</t>
  </si>
  <si>
    <t>dischargeNeuroExamMoro</t>
  </si>
  <si>
    <t>Discharge Neuro Exam:  Moro</t>
  </si>
  <si>
    <t>discharge_neuro_exam_moro</t>
  </si>
  <si>
    <t>LH11MR_2</t>
  </si>
  <si>
    <t>dischargeNeuroExamPupils</t>
  </si>
  <si>
    <t>Discharge Neuro Exam:  Pupils</t>
  </si>
  <si>
    <t>discharge_neuro_exam_pupils</t>
  </si>
  <si>
    <t>LH11PU_2</t>
  </si>
  <si>
    <t>dischargeNeuroExamHeartRate</t>
  </si>
  <si>
    <t>Discharge Neuro Exam:  Heart rate</t>
  </si>
  <si>
    <t>discharge_neuro_exam_heart_rate</t>
  </si>
  <si>
    <t>LH11HR_2</t>
  </si>
  <si>
    <t>dischargeNeuroExamRespiration</t>
  </si>
  <si>
    <t>Discharge Neuro Exam:  Respiration</t>
  </si>
  <si>
    <t>discharge_neuro_exam_respiration</t>
  </si>
  <si>
    <t>LH11RS_2</t>
  </si>
  <si>
    <t>dischargeNeuroExamSeizure</t>
  </si>
  <si>
    <t>Discharge Neuro Exam:  Clinical seizures?</t>
  </si>
  <si>
    <t>discharge_neuro_exam_seizure</t>
  </si>
  <si>
    <t>LH11SZ_2</t>
  </si>
  <si>
    <t>dischargeNeuroExamClonusSustained</t>
  </si>
  <si>
    <t>Discharge Neuro Exam:  Clonus -- sustained</t>
  </si>
  <si>
    <t>discharge_neuro_exam_clonus_sustained</t>
  </si>
  <si>
    <t>LH11CL_2</t>
  </si>
  <si>
    <t>dischargeNeuroExamFistedHand</t>
  </si>
  <si>
    <t>Discharge Neuro Exam:  Fisted hand</t>
  </si>
  <si>
    <t>discharge_neuro_exam_fisted_hand</t>
  </si>
  <si>
    <t>LH11FS_2</t>
  </si>
  <si>
    <t>dischargeNeuroExamAbnormalMovement</t>
  </si>
  <si>
    <t>Discharge Neuro Exam:  Abnormal Movements</t>
  </si>
  <si>
    <t>discharge_neuro_exam_abnormal_movement</t>
  </si>
  <si>
    <t>LH11MO_2</t>
  </si>
  <si>
    <t>dischargeNeuroExamGagReflexAbsent</t>
  </si>
  <si>
    <t>Discharge Neuro Exam:  Gag reflex absent</t>
  </si>
  <si>
    <t>discharge_neuro_exam_gag_reflex_absent</t>
  </si>
  <si>
    <t>LH11GA_2</t>
  </si>
  <si>
    <t>dischargeNeuroExamSedate</t>
  </si>
  <si>
    <t>Discharge Neuro Exam: sedated?</t>
  </si>
  <si>
    <t>discharge_neuro_exam_sedate</t>
  </si>
  <si>
    <t>dischargeNeuroExamHypertonia</t>
  </si>
  <si>
    <t>Discharge Neuro Exam:  Hypertonia</t>
  </si>
  <si>
    <t>discharge_neuro_exam_hypertonia</t>
  </si>
  <si>
    <t>LH11HY_2</t>
  </si>
  <si>
    <t>dischargeNeuroExamAsymTonicNeckReflex</t>
  </si>
  <si>
    <t>Discharge Neuro Exam: Find: Asym. tonic neck reflex</t>
  </si>
  <si>
    <t>discharge_neuro_exam_asym_tonic_neck_reflex</t>
  </si>
  <si>
    <t>dischargeCardiomegaly</t>
  </si>
  <si>
    <t>Cardiomegaly?</t>
  </si>
  <si>
    <t>discharge_cardiomegaly</t>
  </si>
  <si>
    <t>LH13CVMG</t>
  </si>
  <si>
    <t>OC13CARD</t>
  </si>
  <si>
    <t>dischargeCardiacFailure</t>
  </si>
  <si>
    <t>Cardiac failure?</t>
  </si>
  <si>
    <t>discharge_cardiac_failure</t>
  </si>
  <si>
    <t>LH13CVCF</t>
  </si>
  <si>
    <t>OC13CFAI</t>
  </si>
  <si>
    <t>dischargeCardiacDysfunctionByEcho</t>
  </si>
  <si>
    <t>Cardiac dysfunction (by echo)?</t>
  </si>
  <si>
    <t>discharge_cardiac_dysfunction_by_echo</t>
  </si>
  <si>
    <t>LH13CVCD</t>
  </si>
  <si>
    <t>OC13CDYS</t>
  </si>
  <si>
    <t>dischargeCardiacIschemiaByEKG</t>
  </si>
  <si>
    <t>Cardiac ischemia (by EKG and/or increase</t>
  </si>
  <si>
    <t>discharge_cardiac_ischemia_by_ekg</t>
  </si>
  <si>
    <t>LH13CVCI</t>
  </si>
  <si>
    <t>OC13CISC</t>
  </si>
  <si>
    <t>dischargeHypotension</t>
  </si>
  <si>
    <t>Hypotension?</t>
  </si>
  <si>
    <t>discharge_hypotension</t>
  </si>
  <si>
    <t>LH13CVHY</t>
  </si>
  <si>
    <t>OC13HYPO</t>
  </si>
  <si>
    <t>dischargeArrhythmia</t>
  </si>
  <si>
    <t>Arrhythmia?</t>
  </si>
  <si>
    <t>discharge_arrhythmia</t>
  </si>
  <si>
    <t>LH13CVAR</t>
  </si>
  <si>
    <t>OC13ARRH</t>
  </si>
  <si>
    <t>dischargeMeconiumAspirationSyndrome</t>
  </si>
  <si>
    <t>Meconium aspiration syndrome?</t>
  </si>
  <si>
    <t>discharge_meconium_aspiration_syndrome</t>
  </si>
  <si>
    <t>LH13PLMC</t>
  </si>
  <si>
    <t>OC13MASY</t>
  </si>
  <si>
    <t>dischargePPHN</t>
  </si>
  <si>
    <t>PPHN?</t>
  </si>
  <si>
    <t>discharge_pphn</t>
  </si>
  <si>
    <t>LH13PLPP</t>
  </si>
  <si>
    <t>OC13PPHN</t>
  </si>
  <si>
    <t>dischargePulmonaryHemorrhage</t>
  </si>
  <si>
    <t>Pulmonary hemorrhage?</t>
  </si>
  <si>
    <t>discharge_pulmonary_hemorrhage</t>
  </si>
  <si>
    <t>LH13PLPH</t>
  </si>
  <si>
    <t>OC13PHEM</t>
  </si>
  <si>
    <t>dischargePenumonia</t>
  </si>
  <si>
    <t>Pneumonia?</t>
  </si>
  <si>
    <t>discharge_penumonia</t>
  </si>
  <si>
    <t>LH13PLPN</t>
  </si>
  <si>
    <t>OC13PNEU</t>
  </si>
  <si>
    <t>dischargeChronicLungDisease</t>
  </si>
  <si>
    <t>Chronic lung disease?</t>
  </si>
  <si>
    <t>discharge_chronic_lung_disease</t>
  </si>
  <si>
    <t>LH13PLCL</t>
  </si>
  <si>
    <t>OC13CHLD</t>
  </si>
  <si>
    <t>dischargeECMO</t>
  </si>
  <si>
    <t>ECMO?</t>
  </si>
  <si>
    <t>discharge_ecmo</t>
  </si>
  <si>
    <t>LH13PECM</t>
  </si>
  <si>
    <t>OC13ECMO</t>
  </si>
  <si>
    <t>dischargeINO</t>
  </si>
  <si>
    <t>INO?</t>
  </si>
  <si>
    <t>discharge_ino</t>
  </si>
  <si>
    <t>LH13PLNO</t>
  </si>
  <si>
    <t>OC13INO</t>
  </si>
  <si>
    <t>dischargeVentilator_day</t>
  </si>
  <si>
    <t>Days on ventilator</t>
  </si>
  <si>
    <t>discharge_ventilator_day</t>
  </si>
  <si>
    <t>LH13PLVN</t>
  </si>
  <si>
    <t>OC13DVEN</t>
  </si>
  <si>
    <t>dischargeOxygen_day</t>
  </si>
  <si>
    <t>Days on oxygen</t>
  </si>
  <si>
    <t>discharge_oxygen_day</t>
  </si>
  <si>
    <t>LH13PL02</t>
  </si>
  <si>
    <t>OC13DOXY</t>
  </si>
  <si>
    <t>dischargeCPAP_day</t>
  </si>
  <si>
    <t>Days on CPAP</t>
  </si>
  <si>
    <t>discharge_cpap_day</t>
  </si>
  <si>
    <t>LH13PLCP</t>
  </si>
  <si>
    <t>OC13DCPA</t>
  </si>
  <si>
    <t>dischargePulmonaryStartDate1</t>
  </si>
  <si>
    <t>pulmonary start date - 1</t>
  </si>
  <si>
    <t>discharge_pulmonary_start_date1</t>
  </si>
  <si>
    <t>L13PIBD1</t>
  </si>
  <si>
    <t>dischargePulmonaryStartTime1</t>
  </si>
  <si>
    <t>pulmonary start time - 1</t>
  </si>
  <si>
    <t>discharge_pulmonary_start_time1</t>
  </si>
  <si>
    <t>L13PIBT1</t>
  </si>
  <si>
    <t>dischargePulmonaryEndDate1</t>
  </si>
  <si>
    <t>pulmonary end date - 1</t>
  </si>
  <si>
    <t>discharge_pulmonary_end_date1</t>
  </si>
  <si>
    <t>L13PIED1</t>
  </si>
  <si>
    <t>dischargePulmonaryEndTime1</t>
  </si>
  <si>
    <t>pulmonary end time - 1</t>
  </si>
  <si>
    <t>discharge_pulmonary_end_time1</t>
  </si>
  <si>
    <t>L13PIET1</t>
  </si>
  <si>
    <t>dischargePulmonaryStartDate2</t>
  </si>
  <si>
    <t>pulmonary start date - 2</t>
  </si>
  <si>
    <t>discharge_pulmonary_start_date2</t>
  </si>
  <si>
    <t>L13PIBD2</t>
  </si>
  <si>
    <t>dischargePulmonaryStartTime2</t>
  </si>
  <si>
    <t>pulmonary start time - 2</t>
  </si>
  <si>
    <t>discharge_pulmonary_start_time2</t>
  </si>
  <si>
    <t>L13PIBT2</t>
  </si>
  <si>
    <t>dischargePulmonaryEndDate2</t>
  </si>
  <si>
    <t>pulmonary end date - 2</t>
  </si>
  <si>
    <t>discharge_pulmonary_end_date2</t>
  </si>
  <si>
    <t>L13PIED2</t>
  </si>
  <si>
    <t>dischargePulmonaryEndTime2</t>
  </si>
  <si>
    <t>pulmonary end time - 2</t>
  </si>
  <si>
    <t>discharge_pulmonary_end_time2</t>
  </si>
  <si>
    <t>L13PIET2</t>
  </si>
  <si>
    <t>dischargePulmonaryStartDate3</t>
  </si>
  <si>
    <t>pulmonary start date - 3</t>
  </si>
  <si>
    <t>discharge_pulmonary_start_date3</t>
  </si>
  <si>
    <t>L13PIBD3</t>
  </si>
  <si>
    <t>dischargePulmonaryStartTime3</t>
  </si>
  <si>
    <t>pulmonary start time - 3</t>
  </si>
  <si>
    <t>discharge_pulmonary_start_time3</t>
  </si>
  <si>
    <t>L13PIBT3</t>
  </si>
  <si>
    <t>dischargePulmonaryEndDate3</t>
  </si>
  <si>
    <t>pulmonary end date - 3</t>
  </si>
  <si>
    <t>discharge_pulmonary_end_date3</t>
  </si>
  <si>
    <t>L13PIED3</t>
  </si>
  <si>
    <t>dischargePulmonaryEndTime3</t>
  </si>
  <si>
    <t>pulmonary end time - 3</t>
  </si>
  <si>
    <t>discharge_pulmonary_end_time3</t>
  </si>
  <si>
    <t>L13PIET3</t>
  </si>
  <si>
    <t>Hematology</t>
  </si>
  <si>
    <t>dischargeDIC</t>
  </si>
  <si>
    <t>DIC?</t>
  </si>
  <si>
    <t>discharge_dic</t>
  </si>
  <si>
    <t>LH13DIC</t>
  </si>
  <si>
    <t>OC13HDIC</t>
  </si>
  <si>
    <t>Metabolic</t>
  </si>
  <si>
    <t>dischargeHypoglycemia</t>
  </si>
  <si>
    <t>Hypoglycemia?</t>
  </si>
  <si>
    <t>discharge_hypoglycemia</t>
  </si>
  <si>
    <t>LH13HYGL</t>
  </si>
  <si>
    <t>OC13HYGL</t>
  </si>
  <si>
    <t>dischargeHypocalcemia</t>
  </si>
  <si>
    <t>Hypocalcemia?</t>
  </si>
  <si>
    <t>discharge_hypocalcemia</t>
  </si>
  <si>
    <t>LH13HYCA</t>
  </si>
  <si>
    <t>OC13HYCA</t>
  </si>
  <si>
    <t>dischargeHypomagnesemia</t>
  </si>
  <si>
    <t>Hypomagnesemia?</t>
  </si>
  <si>
    <t>discharge_hypomagnesemia</t>
  </si>
  <si>
    <t>LH13HYMG</t>
  </si>
  <si>
    <t>OC13HYPM</t>
  </si>
  <si>
    <t>Renal</t>
  </si>
  <si>
    <t>dischargeOliguria</t>
  </si>
  <si>
    <t>Oliguria?</t>
  </si>
  <si>
    <t>discharge_oliguria</t>
  </si>
  <si>
    <t>LH13RNOC</t>
  </si>
  <si>
    <t>OC13ROLI</t>
  </si>
  <si>
    <t>dischargeAnuria</t>
  </si>
  <si>
    <t>Anuria?</t>
  </si>
  <si>
    <t>discharge_anuria</t>
  </si>
  <si>
    <t>LH13RNAN</t>
  </si>
  <si>
    <t>OC13RANU</t>
  </si>
  <si>
    <t>dischargeDialysis</t>
  </si>
  <si>
    <t>Dialysis?</t>
  </si>
  <si>
    <t>discharge_dialysis</t>
  </si>
  <si>
    <t>LH13RNDI</t>
  </si>
  <si>
    <t>OC13RDIA</t>
  </si>
  <si>
    <t>Gastrointestinal</t>
  </si>
  <si>
    <t>dischargeEnteralFeedStart_day</t>
  </si>
  <si>
    <t>Day of life enteral feeds started</t>
  </si>
  <si>
    <t>discharge_enteral_feed_start_day</t>
  </si>
  <si>
    <t>OC13DEFS</t>
  </si>
  <si>
    <t>dischargeTubeFeedingDuration_day</t>
  </si>
  <si>
    <t>Duration of tube feeding (days)</t>
  </si>
  <si>
    <t>discharge_tube_feeding_duration_day</t>
  </si>
  <si>
    <t>LH13GSDR</t>
  </si>
  <si>
    <t>OC13DTFE</t>
  </si>
  <si>
    <t>dischargeFullNippleFeed</t>
  </si>
  <si>
    <t>Were full nipple feed achieved?</t>
  </si>
  <si>
    <t>discharge_full_nipple_feed</t>
  </si>
  <si>
    <t>OC13FLNP</t>
  </si>
  <si>
    <t>dischargeFullNippleFeed_day</t>
  </si>
  <si>
    <t>If Yes, Day of Life at full nipple feeds</t>
  </si>
  <si>
    <t>discharge_full_nipple_feed_day</t>
  </si>
  <si>
    <t>LH13GSAG</t>
  </si>
  <si>
    <t>OC13FNDL</t>
  </si>
  <si>
    <t>dischargeNEC</t>
  </si>
  <si>
    <t>NEC?</t>
  </si>
  <si>
    <t>discharge_nec</t>
  </si>
  <si>
    <t>LH13GSNE</t>
  </si>
  <si>
    <t>OC13NEC</t>
  </si>
  <si>
    <t>dischargeHepaticDysfunction</t>
  </si>
  <si>
    <t>Hepatic dysfunction?</t>
  </si>
  <si>
    <t>discharge_hepatic_dysfunction</t>
  </si>
  <si>
    <t>LH13GSHD</t>
  </si>
  <si>
    <t>OC13HPDY</t>
  </si>
  <si>
    <t>Skin</t>
  </si>
  <si>
    <t>dischargeAlteredSkinItegrityPostIntervention</t>
  </si>
  <si>
    <t>Was altered skin integrity documented after the Study Intervention Period?</t>
  </si>
  <si>
    <t>discharge_altered_skin_itegrity_post_intervention</t>
  </si>
  <si>
    <t>OC13ALIN</t>
  </si>
  <si>
    <t>dischargeErythema</t>
  </si>
  <si>
    <t>Erythema?</t>
  </si>
  <si>
    <t>discharge_erythema</t>
  </si>
  <si>
    <t>OC13ERYT</t>
  </si>
  <si>
    <t>dischargeErythemaOnsetDate</t>
  </si>
  <si>
    <t>Erythema: Date of Onset</t>
  </si>
  <si>
    <t>discharge_erythema_onset_date</t>
  </si>
  <si>
    <t>OC13EODA</t>
  </si>
  <si>
    <t>dischargeErythemaResolveDate</t>
  </si>
  <si>
    <t>Erythema: Date Resolved</t>
  </si>
  <si>
    <t>discharge_erythema_resolve_date</t>
  </si>
  <si>
    <t>OC13ERDA</t>
  </si>
  <si>
    <t>dischargeSclerema</t>
  </si>
  <si>
    <t>Sclerema?</t>
  </si>
  <si>
    <t>discharge_sclerema</t>
  </si>
  <si>
    <t>OC13SCLE</t>
  </si>
  <si>
    <t>dischargeScleremaOnsetDate</t>
  </si>
  <si>
    <t>Sclerema: Date of Onset</t>
  </si>
  <si>
    <t>discharge_sclerema_onset_date</t>
  </si>
  <si>
    <t>OC13SCOD</t>
  </si>
  <si>
    <t>dischargeScleremaResolveDate</t>
  </si>
  <si>
    <t>Sclerema: Date Resolved</t>
  </si>
  <si>
    <t>discharge_sclerema_resolve_date</t>
  </si>
  <si>
    <t>OC13SCRD</t>
  </si>
  <si>
    <t>dischargeCyanosis</t>
  </si>
  <si>
    <t>Cyanosis?</t>
  </si>
  <si>
    <t>discharge_cyanosis</t>
  </si>
  <si>
    <t>OC13CYAN</t>
  </si>
  <si>
    <t>dischargeCyanosisOnsetDate</t>
  </si>
  <si>
    <t>Cyanosis: Date of Onset</t>
  </si>
  <si>
    <t>discharge_cyanosis_onset_date</t>
  </si>
  <si>
    <t>OC13CODA</t>
  </si>
  <si>
    <t>dischargeCyanosisResolveDate</t>
  </si>
  <si>
    <t>Cyanosis: Date Resolved</t>
  </si>
  <si>
    <t>discharge_cyanosis_resolve_date</t>
  </si>
  <si>
    <t>OC13CRDA</t>
  </si>
  <si>
    <t>dischargeSubFatNecrosis</t>
  </si>
  <si>
    <t>Subcutaneous fat necrosis?</t>
  </si>
  <si>
    <t>discharge_sub_fat_necrosis</t>
  </si>
  <si>
    <t>OC13SUFN</t>
  </si>
  <si>
    <t>dischargeSubFatNecrosisOnsetDate</t>
  </si>
  <si>
    <t>Sub fat necrosis: Date of Onset</t>
  </si>
  <si>
    <t>discharge_sub_fat_necrosis_onset_date</t>
  </si>
  <si>
    <t>OC13SUOD</t>
  </si>
  <si>
    <t>dischargeSubFatNecrosisResolveDate</t>
  </si>
  <si>
    <t>Sub fat necrosis: Date Resolved</t>
  </si>
  <si>
    <t>discharge_sub_fat_necrosis_resolve_date</t>
  </si>
  <si>
    <t>OC13SURD</t>
  </si>
  <si>
    <t>Auditory</t>
  </si>
  <si>
    <t>dischargeHearingTest</t>
  </si>
  <si>
    <t>hearing test performed?</t>
  </si>
  <si>
    <t>discharge_hearing_test</t>
  </si>
  <si>
    <t>LH13HTES</t>
  </si>
  <si>
    <t>OC13HEAT</t>
  </si>
  <si>
    <t>dischargeHearingTestNormal</t>
  </si>
  <si>
    <t>was the result of final hearing test normal?</t>
  </si>
  <si>
    <t>discharge_hearing_test_normal</t>
  </si>
  <si>
    <t>LH13HTEN</t>
  </si>
  <si>
    <t>OC13HTRS</t>
  </si>
  <si>
    <t>Surgery</t>
  </si>
  <si>
    <t>dischargeMajorSurgery</t>
  </si>
  <si>
    <t>Did the patient have major surgery?</t>
  </si>
  <si>
    <t>discharge_major_surgery</t>
  </si>
  <si>
    <t>LH13MJSG</t>
  </si>
  <si>
    <t>OC13MJSU</t>
  </si>
  <si>
    <t>dischargeSurgeryCode1</t>
  </si>
  <si>
    <t>surgery</t>
  </si>
  <si>
    <t>Surgery Code 1</t>
  </si>
  <si>
    <t>discharge_surgery_code1</t>
  </si>
  <si>
    <t>LH13MJSA</t>
  </si>
  <si>
    <t>OC13SUC1</t>
  </si>
  <si>
    <t>dischargeSurgeryCode2</t>
  </si>
  <si>
    <t>Surgery Code 2</t>
  </si>
  <si>
    <t>discharge_surgery_code2</t>
  </si>
  <si>
    <t>LH13MJSB</t>
  </si>
  <si>
    <t>OC13SUC2</t>
  </si>
  <si>
    <t>dischargeSurgeryCode3</t>
  </si>
  <si>
    <t>Surgery Code 3</t>
  </si>
  <si>
    <t>discharge_surgery_code3</t>
  </si>
  <si>
    <t>LH13MJSC</t>
  </si>
  <si>
    <t>OC13SUC3</t>
  </si>
  <si>
    <t>dischargeSepticemia</t>
  </si>
  <si>
    <t>Did the patient have septicemia?</t>
  </si>
  <si>
    <t>discharge_septicemia</t>
  </si>
  <si>
    <t>LH13SEP</t>
  </si>
  <si>
    <t>OC13SEPT</t>
  </si>
  <si>
    <t>dischargeSepticemiaOrganismCode1</t>
  </si>
  <si>
    <t>Septicemia: Organism Code 1</t>
  </si>
  <si>
    <t>discharge_septicemia_organism_code1</t>
  </si>
  <si>
    <t>LH13SEPA</t>
  </si>
  <si>
    <t>OC13SOR1</t>
  </si>
  <si>
    <t>dischargeSepticemiaOrganismCode2</t>
  </si>
  <si>
    <t>Septicemia: Organism Code 2</t>
  </si>
  <si>
    <t>discharge_septicemia_organism_code2</t>
  </si>
  <si>
    <t>LH13SEPB</t>
  </si>
  <si>
    <t>OC13SOR2</t>
  </si>
  <si>
    <t>dischargeSepticemiaOrganismCode3</t>
  </si>
  <si>
    <t>Septicemia: Organism Code 3</t>
  </si>
  <si>
    <t>discharge_septicemia_organism_code3</t>
  </si>
  <si>
    <t>LH13SEPC</t>
  </si>
  <si>
    <t>OC13SOR3</t>
  </si>
  <si>
    <t>dischargeMeningitisEncephalitis</t>
  </si>
  <si>
    <t>Did the patient have meningitis/encephalitis?</t>
  </si>
  <si>
    <t>discharge_meningitis_encephalitis</t>
  </si>
  <si>
    <t>LH13MEN</t>
  </si>
  <si>
    <t>OC13ME</t>
  </si>
  <si>
    <t>dischargeMeningitisOrganismCode1</t>
  </si>
  <si>
    <t>Meningitis: Organism Code 1</t>
  </si>
  <si>
    <t>discharge_meningitis_organism_code1</t>
  </si>
  <si>
    <t>LH13MENA</t>
  </si>
  <si>
    <t>OC13MEO1</t>
  </si>
  <si>
    <t>dischargeMeningitisOrganismCode2</t>
  </si>
  <si>
    <t>Meningitis: Organism Code 2</t>
  </si>
  <si>
    <t>discharge_meningitis_organism_code2</t>
  </si>
  <si>
    <t>LH13MENB</t>
  </si>
  <si>
    <t>OC13MEO2</t>
  </si>
  <si>
    <t>dischargeMeningitisOrganismCode3</t>
  </si>
  <si>
    <t>Meningitis: Organism Code 3</t>
  </si>
  <si>
    <t>discharge_meningitis_organism_code3</t>
  </si>
  <si>
    <t>LH13MENC</t>
  </si>
  <si>
    <t>OC13ME03</t>
  </si>
  <si>
    <t>Seizure</t>
  </si>
  <si>
    <t>dischargeSeizure</t>
  </si>
  <si>
    <t>Did infant have documented seizures?</t>
  </si>
  <si>
    <t>discharge_seizure</t>
  </si>
  <si>
    <t>LH13NESZ</t>
  </si>
  <si>
    <t>OC13SEIZ</t>
  </si>
  <si>
    <t>dischargeSeizurePreIntervention</t>
  </si>
  <si>
    <t>Seizures: Prior to study intervention</t>
  </si>
  <si>
    <t>discharge_seizure_pre_intervention</t>
  </si>
  <si>
    <t>LH13NESP</t>
  </si>
  <si>
    <t>OC13SPRI</t>
  </si>
  <si>
    <t>dischargeSeizureAfterBaseline</t>
  </si>
  <si>
    <t>Seizures: After Baseline</t>
  </si>
  <si>
    <t>discharge_seizure_after_baseline</t>
  </si>
  <si>
    <t>OC13SAFT</t>
  </si>
  <si>
    <t>dischargeSeizureMaintenance</t>
  </si>
  <si>
    <t>Seizures: During maintenance phase</t>
  </si>
  <si>
    <t>discharge_seizure_maintenance</t>
  </si>
  <si>
    <t>LH13NESD</t>
  </si>
  <si>
    <t>OC13SDMP</t>
  </si>
  <si>
    <t>dischargeSeizureRewarming</t>
  </si>
  <si>
    <t>Seizures: During re-warming phase</t>
  </si>
  <si>
    <t>discharge_seizure_rewarming</t>
  </si>
  <si>
    <t>LH13NESR</t>
  </si>
  <si>
    <t>OC13SDRW</t>
  </si>
  <si>
    <t>dischargeSeizurePostIntervention</t>
  </si>
  <si>
    <t>Seizures: After achieving normothermia</t>
  </si>
  <si>
    <t>discharge_seizure_post_intervention</t>
  </si>
  <si>
    <t>LH13NESA</t>
  </si>
  <si>
    <t>OC13SAAB</t>
  </si>
  <si>
    <t>dischargeEEG</t>
  </si>
  <si>
    <t>Was an EEG done?</t>
  </si>
  <si>
    <t>discharge_eeg</t>
  </si>
  <si>
    <t>LH13EEG</t>
  </si>
  <si>
    <t>OC13EEG</t>
  </si>
  <si>
    <t>dischargeEEGFindingConsistentWithSeizure</t>
  </si>
  <si>
    <t>Were findings consistent with seizures on any EEG?</t>
  </si>
  <si>
    <t>discharge_eeg_finding_consistent_with_seizure</t>
  </si>
  <si>
    <t>LH13EFIN</t>
  </si>
  <si>
    <t>OC13FCON</t>
  </si>
  <si>
    <t>dischargeEEGFindingConsistentWithSeizureDate</t>
  </si>
  <si>
    <t>Findings Consistent: Date of EEG</t>
  </si>
  <si>
    <t>discharge_eeg_finding_consistent_with_seizure_date</t>
  </si>
  <si>
    <t>LH13EDAT</t>
  </si>
  <si>
    <t>OC13CDAT</t>
  </si>
  <si>
    <t>dischargeEEGFindingConsistentWithSeizureTime</t>
  </si>
  <si>
    <t>Findings Consistent: Time of EEG</t>
  </si>
  <si>
    <t>discharge_eeg_finding_consistent_with_seizure_time</t>
  </si>
  <si>
    <t>LH13ETIM</t>
  </si>
  <si>
    <t>OC13CTIM</t>
  </si>
  <si>
    <t>dischargeEEGAbnormalBackgroundActivity</t>
  </si>
  <si>
    <t>Was there abnormal background activity on EEG?</t>
  </si>
  <si>
    <t>discharge_eeg_abnormal_background_activity</t>
  </si>
  <si>
    <t>LH13ABNM</t>
  </si>
  <si>
    <t>OC13ABBK</t>
  </si>
  <si>
    <t>dischargeEEGAbnormalBackgroundActivityDate</t>
  </si>
  <si>
    <t>Abnormal Bkg activity: Date</t>
  </si>
  <si>
    <t>discharge_eeg_abnormal_background_activity_date</t>
  </si>
  <si>
    <t>LH13ADAT</t>
  </si>
  <si>
    <t>OC13ADAT</t>
  </si>
  <si>
    <t>dischargeEEGAbnormalBackgroundActivityTime</t>
  </si>
  <si>
    <t>Abnormal Bkg activity: Time</t>
  </si>
  <si>
    <t>discharge_eeg_abnormal_background_activity_time</t>
  </si>
  <si>
    <t>LH13ATIM</t>
  </si>
  <si>
    <t>OC13ATIM</t>
  </si>
  <si>
    <t>dischargeAnticonvulsantsOver72H</t>
  </si>
  <si>
    <t>Were anticonvulsants used for at least 72 hours?</t>
  </si>
  <si>
    <t>discharge_anticonvulsants_over72h</t>
  </si>
  <si>
    <t>LH13ACON</t>
  </si>
  <si>
    <t>OC13ANCV</t>
  </si>
  <si>
    <t>Birth Defect</t>
  </si>
  <si>
    <t>dischargeSyndromeMalformation</t>
  </si>
  <si>
    <t>Were there syndromes/malformations diagnosed?</t>
  </si>
  <si>
    <t>discharge_syndrome_malformation</t>
  </si>
  <si>
    <t>LH13BDEF</t>
  </si>
  <si>
    <t>OC13SMDI</t>
  </si>
  <si>
    <t>dischargeBirthDefectCode1</t>
  </si>
  <si>
    <t>birthDefect</t>
  </si>
  <si>
    <t>Birth Defects Code 1</t>
  </si>
  <si>
    <t>discharge_birth_defect_code1</t>
  </si>
  <si>
    <t>LH13BDCA</t>
  </si>
  <si>
    <t>OC13BD1</t>
  </si>
  <si>
    <t>dischargeBirthDefectCode2</t>
  </si>
  <si>
    <t>Birth Defects Code 2</t>
  </si>
  <si>
    <t>discharge_birth_defect_code2</t>
  </si>
  <si>
    <t>LH13BDCB</t>
  </si>
  <si>
    <t>OC13BD2</t>
  </si>
  <si>
    <t>dischargeBirthDefectCode3</t>
  </si>
  <si>
    <t>Birth Defects Code 3</t>
  </si>
  <si>
    <t>discharge_birth_defect_code3</t>
  </si>
  <si>
    <t>LH13BDCC</t>
  </si>
  <si>
    <t>OC13BD3</t>
  </si>
  <si>
    <t>Home Therapy</t>
  </si>
  <si>
    <t>dischargeHomeTherapy</t>
  </si>
  <si>
    <t>home therapy?</t>
  </si>
  <si>
    <t>discharge_home_therapy</t>
  </si>
  <si>
    <t>OC13HOTH</t>
  </si>
  <si>
    <t>dischargeHomeTherapyVentilator</t>
  </si>
  <si>
    <t>discharge_home_therapy_ventilator</t>
  </si>
  <si>
    <t>LH13HTVN</t>
  </si>
  <si>
    <t>OC13HTVE</t>
  </si>
  <si>
    <t>dischargeHomeTherapyOxygen</t>
  </si>
  <si>
    <t>discharge_home_therapy_oxygen</t>
  </si>
  <si>
    <t>LH13HTO2</t>
  </si>
  <si>
    <t>OC13HTOX</t>
  </si>
  <si>
    <t>dischargeHomeTherapyGavageTubeFeed</t>
  </si>
  <si>
    <t>discharge_home_therapy_gavage_tube_feed</t>
  </si>
  <si>
    <t>LH13HTGV</t>
  </si>
  <si>
    <t>OC13HTTF</t>
  </si>
  <si>
    <t>dischargeHomeTherapyGastrostomyTubeFeed</t>
  </si>
  <si>
    <t>gstrostomy tube feeding?</t>
  </si>
  <si>
    <t>discharge_home_therapy_gastrostomy_tube_feed</t>
  </si>
  <si>
    <t>LH13HTGS</t>
  </si>
  <si>
    <t>OC13HTGT</t>
  </si>
  <si>
    <t>dischargeHomeTherapyTemperatureBlanket</t>
  </si>
  <si>
    <t>discharge_home_therapy_temperature_blanket</t>
  </si>
  <si>
    <t>LH13HTTB</t>
  </si>
  <si>
    <t>OC13MTTB</t>
  </si>
  <si>
    <t>dischargeHomeTherapyAnticonvulsantMedication</t>
  </si>
  <si>
    <t>discharge_home_therapy_anticonvulsant_medication</t>
  </si>
  <si>
    <t>LH13HTAM</t>
  </si>
  <si>
    <t>OC13HTAM</t>
  </si>
  <si>
    <t>dischargeHomeTherapyOther</t>
  </si>
  <si>
    <t>other?</t>
  </si>
  <si>
    <t>discharge_home_therapy_other</t>
  </si>
  <si>
    <t>LH13HTOT</t>
  </si>
  <si>
    <t>OC13HRO</t>
  </si>
  <si>
    <t>dischargeHomeTherapyOtherText</t>
  </si>
  <si>
    <t>discharge_home_therapy_other_text</t>
  </si>
  <si>
    <t>LH13HTOS</t>
  </si>
  <si>
    <t>OC13HTOS</t>
  </si>
  <si>
    <t>Withdrawal of Support</t>
  </si>
  <si>
    <t>wdrawSupport</t>
  </si>
  <si>
    <t>Was support withdrawn?</t>
  </si>
  <si>
    <t>wdraw_support</t>
  </si>
  <si>
    <t>LH12SWIT</t>
  </si>
  <si>
    <t>OC13SWD</t>
  </si>
  <si>
    <t>wdrawSupportDate</t>
  </si>
  <si>
    <t>Date support withdrawn</t>
  </si>
  <si>
    <t>wdraw_support_date</t>
  </si>
  <si>
    <t>LH12DWIT</t>
  </si>
  <si>
    <t>OC13SWDD</t>
  </si>
  <si>
    <t>wdrawSupportTime</t>
  </si>
  <si>
    <t>Time support withdrawn</t>
  </si>
  <si>
    <t>wdraw_support_time</t>
  </si>
  <si>
    <t>LH12TWIT</t>
  </si>
  <si>
    <t>OC13SWDT</t>
  </si>
  <si>
    <t>wdrawSupportDiscussedWithFamily</t>
  </si>
  <si>
    <t>Withdrawal of support discussed w/family</t>
  </si>
  <si>
    <t>wdraw_support_discussed_with_family</t>
  </si>
  <si>
    <t>LH12WDIS</t>
  </si>
  <si>
    <t>OC13WSUF</t>
  </si>
  <si>
    <t>wdrawSupportRecommendSolelyByClinicalTeam</t>
  </si>
  <si>
    <t>Was the recomendation to withdraw support made solely by the clinical team (i.e., a Study PI was not part of the clinical team)?</t>
  </si>
  <si>
    <t>wdraw_support_recommend_solely_by_clinical_team</t>
  </si>
  <si>
    <t>LH12SWRT</t>
  </si>
  <si>
    <t>OC13WSDE</t>
  </si>
  <si>
    <t>wdrawSupportNeurologicalExam</t>
  </si>
  <si>
    <t>Wdraw of support due to: neurological exam</t>
  </si>
  <si>
    <t>wdraw_support_neurological_exam</t>
  </si>
  <si>
    <t>LH12WNEU</t>
  </si>
  <si>
    <t>OC13WSNE</t>
  </si>
  <si>
    <t>wdrawSupportImagingStudy</t>
  </si>
  <si>
    <t>Wdraw of support due to: imaging studies</t>
  </si>
  <si>
    <t>wdraw_support_imaging_study</t>
  </si>
  <si>
    <t>LH12WIMA</t>
  </si>
  <si>
    <t>OC13WSIS</t>
  </si>
  <si>
    <t>wdrawSupportEEGFinding</t>
  </si>
  <si>
    <t>Wdraw of support due to: EEG findings</t>
  </si>
  <si>
    <t>wdraw_support_eeg_finding</t>
  </si>
  <si>
    <t>LH12WEEG</t>
  </si>
  <si>
    <t>OC13WSEF</t>
  </si>
  <si>
    <t>wdrawSupportMultisystemOrganFailureOtherThanCNS</t>
  </si>
  <si>
    <t>Wdraw of support due to: multi-system organ failure other than CNS</t>
  </si>
  <si>
    <t>wdraw_support_multisystem_organ_failure_other_than_cns</t>
  </si>
  <si>
    <t>LH12WMSY</t>
  </si>
  <si>
    <t>OC13WSMS</t>
  </si>
  <si>
    <t>wdrawSupportBrainBloodFlowScan</t>
  </si>
  <si>
    <t>Wdraw of support due to: brain blood flow scan</t>
  </si>
  <si>
    <t>wdraw_support_brain_blood_flow_scan</t>
  </si>
  <si>
    <t>LH12WBBF</t>
  </si>
  <si>
    <t>OC13WSBB</t>
  </si>
  <si>
    <t>wdrawSupportParentWish</t>
  </si>
  <si>
    <t>Wdraw of support due to: parent wishes</t>
  </si>
  <si>
    <t>wdraw_support_parent_wish</t>
  </si>
  <si>
    <t>LH12WPWI</t>
  </si>
  <si>
    <t>OC13WSPW</t>
  </si>
  <si>
    <t>wdrawSupportOther</t>
  </si>
  <si>
    <t>Wdraw of support due to: other</t>
  </si>
  <si>
    <t>wdraw_support_other</t>
  </si>
  <si>
    <t>LH12WOT</t>
  </si>
  <si>
    <t>OC13WSO</t>
  </si>
  <si>
    <t>wdrawSupportOtherText</t>
  </si>
  <si>
    <t>Wdraw of support due to: other specify</t>
  </si>
  <si>
    <t>wdraw_support_other_text</t>
  </si>
  <si>
    <t>LH12WOTS</t>
  </si>
  <si>
    <t>OC13WSOS</t>
  </si>
  <si>
    <t>Limitation of Care</t>
  </si>
  <si>
    <t>limitCareDiscussedWithFamily</t>
  </si>
  <si>
    <t>Was limitation of care of an acutely deteriorating infant discussed with the family by the clinical team?</t>
  </si>
  <si>
    <t>limit_care_discussed_with_family</t>
  </si>
  <si>
    <t>LH12LOCD</t>
  </si>
  <si>
    <t>OC13LOC</t>
  </si>
  <si>
    <t>limitCareRecommendSolelyByClinicalTeam</t>
  </si>
  <si>
    <t>Recommendation to limit care solely by clinical team?</t>
  </si>
  <si>
    <t>limit_care_recommend_solely_by_clinical_team</t>
  </si>
  <si>
    <t>LH12LCRT</t>
  </si>
  <si>
    <t>OC13DBCT</t>
  </si>
  <si>
    <t>limitCareAgreedByFamilyAndCareTeam</t>
  </si>
  <si>
    <t>Were there any limitations of care agreed to by family and care team?</t>
  </si>
  <si>
    <t>limit_care_agreed_by_family_and_care_team</t>
  </si>
  <si>
    <t>LH12LOCA</t>
  </si>
  <si>
    <t>OC13LBFA</t>
  </si>
  <si>
    <t>limitCareNoFurtherMechanicalVentilationAndIntubation</t>
  </si>
  <si>
    <t>No further use of mechanical ventilation and intubation</t>
  </si>
  <si>
    <t>limit_care_no_further_mechanical_ventilation_and_intubation</t>
  </si>
  <si>
    <t>LH12LMVI</t>
  </si>
  <si>
    <t>OC13NFMV</t>
  </si>
  <si>
    <t>limitCareNoFurtherVentilationWithBagAndMask</t>
  </si>
  <si>
    <t>No further ventilation with bag and mask</t>
  </si>
  <si>
    <t>limit_care_no_further_ventilation_with_bag_and_mask</t>
  </si>
  <si>
    <t>LH12LVBM</t>
  </si>
  <si>
    <t>OC13NFBM</t>
  </si>
  <si>
    <t>limitCareNoFurtherMedicationsToSupportBP</t>
  </si>
  <si>
    <t>No further use of medications to support BP</t>
  </si>
  <si>
    <t>limit_care_no_further_medications_to_support_bp</t>
  </si>
  <si>
    <t>LH12LMBP</t>
  </si>
  <si>
    <t>OC13NFME</t>
  </si>
  <si>
    <t>limitCareNoFurtherChestCompression</t>
  </si>
  <si>
    <t>No further chest compressions</t>
  </si>
  <si>
    <t>limit_care_no_further_chest_compression</t>
  </si>
  <si>
    <t>LH12LCC</t>
  </si>
  <si>
    <t>OC13NFCC</t>
  </si>
  <si>
    <t>limitCareNoFurtherEmergencyMedication</t>
  </si>
  <si>
    <t>No further use of emergency medications (epi, bicarbonate)</t>
  </si>
  <si>
    <t>limit_care_no_further_emergency_medication</t>
  </si>
  <si>
    <t>LH12LEM</t>
  </si>
  <si>
    <t>OC13NFEM</t>
  </si>
  <si>
    <t>limitCareDNR</t>
  </si>
  <si>
    <t>Was there a DNR Order?</t>
  </si>
  <si>
    <t>limit_care_dnr</t>
  </si>
  <si>
    <t>LH12DNR</t>
  </si>
  <si>
    <t>OC13DNR</t>
  </si>
  <si>
    <t>limitCareDNRDate</t>
  </si>
  <si>
    <t>Date of DNR order</t>
  </si>
  <si>
    <t>limit_care_dnr_date</t>
  </si>
  <si>
    <t>LH12DDNR</t>
  </si>
  <si>
    <t>OC13DNRD</t>
  </si>
  <si>
    <t>limitCareDNRTime</t>
  </si>
  <si>
    <t>Time of DNR order</t>
  </si>
  <si>
    <t>limit_care_dnr_time</t>
  </si>
  <si>
    <t>LH12TDNR</t>
  </si>
  <si>
    <t>OC13DNRT</t>
  </si>
  <si>
    <t>Follow Up</t>
  </si>
  <si>
    <t>followupCenter</t>
  </si>
  <si>
    <t>followup_center</t>
  </si>
  <si>
    <t>site-id</t>
  </si>
  <si>
    <t>visitDate</t>
  </si>
  <si>
    <t>visit date</t>
  </si>
  <si>
    <t>visit_date</t>
  </si>
  <si>
    <t>VISITDT</t>
  </si>
  <si>
    <t>previous center (if transferred)</t>
  </si>
  <si>
    <t>PREVCNTR</t>
  </si>
  <si>
    <t>hypothermia id</t>
  </si>
  <si>
    <t>followupID</t>
  </si>
  <si>
    <t>follow-up id</t>
  </si>
  <si>
    <t>followup_id</t>
  </si>
  <si>
    <t>LHFOLNUM</t>
  </si>
  <si>
    <t>center_orig</t>
  </si>
  <si>
    <t>SES</t>
  </si>
  <si>
    <t>SESVisitDate</t>
  </si>
  <si>
    <t>date of visit</t>
  </si>
  <si>
    <t>ses_visit_date</t>
  </si>
  <si>
    <t>CFVISDT</t>
  </si>
  <si>
    <t>SESBirthDate</t>
  </si>
  <si>
    <t>date of birth</t>
  </si>
  <si>
    <t>ses_birth_date</t>
  </si>
  <si>
    <t>CFBRTHDT</t>
  </si>
  <si>
    <t>chronologicalAge_mo</t>
  </si>
  <si>
    <t>chronological age</t>
  </si>
  <si>
    <t>chronological_age_mo</t>
  </si>
  <si>
    <t>CFCHRAGE</t>
  </si>
  <si>
    <t>correctedAge_mo</t>
  </si>
  <si>
    <t>corrected age</t>
  </si>
  <si>
    <t>corrected_age_mo</t>
  </si>
  <si>
    <t>CFADJAGE</t>
  </si>
  <si>
    <t>underStateSupervision</t>
  </si>
  <si>
    <t>is the child under state supervision</t>
  </si>
  <si>
    <t>under_state_supervision</t>
  </si>
  <si>
    <t>CFSUPER</t>
  </si>
  <si>
    <t>primaryCaretaker</t>
  </si>
  <si>
    <t>relationship</t>
  </si>
  <si>
    <t>primary caretaker</t>
  </si>
  <si>
    <t>primary_caretaker</t>
  </si>
  <si>
    <t>CFCARE</t>
  </si>
  <si>
    <t>otherCaretaker</t>
  </si>
  <si>
    <t>other caretaker</t>
  </si>
  <si>
    <t>other_caretaker</t>
  </si>
  <si>
    <t>CFOCAR</t>
  </si>
  <si>
    <t>maritalStatusPrimaryCaretaker</t>
  </si>
  <si>
    <t>pimrary caretaker's marital status</t>
  </si>
  <si>
    <t>marital_status_primary_caretaker</t>
  </si>
  <si>
    <t>CFMARITL</t>
  </si>
  <si>
    <t>livingArrangementChild</t>
  </si>
  <si>
    <t>livingArrange</t>
  </si>
  <si>
    <t>child's current living arrangement</t>
  </si>
  <si>
    <t>living_arrangement_child</t>
  </si>
  <si>
    <t>CFLIVING</t>
  </si>
  <si>
    <t>numberPeopleInChildHousehold</t>
  </si>
  <si>
    <t>number of people living in child's household</t>
  </si>
  <si>
    <t>number_people_in_child_household</t>
  </si>
  <si>
    <t>CFPEOPLE</t>
  </si>
  <si>
    <t>otherContributeMoneyToChildHousehold</t>
  </si>
  <si>
    <t>apart from primary caretaker, do others contribute money to the child's household?</t>
  </si>
  <si>
    <t>other_contribute_money_to_child_household</t>
  </si>
  <si>
    <t>NF3MONEY</t>
  </si>
  <si>
    <t>educationPrimaryCaretaker</t>
  </si>
  <si>
    <t>highest grade completed or attended - primary caretaker</t>
  </si>
  <si>
    <t>education_primary_caretaker</t>
  </si>
  <si>
    <t>CFGRPCAR</t>
  </si>
  <si>
    <t>educationOtherCaretaker</t>
  </si>
  <si>
    <t>highest grade completed or attended - other caretaker</t>
  </si>
  <si>
    <t>education_other_caretaker</t>
  </si>
  <si>
    <t>CFGROCAR</t>
  </si>
  <si>
    <t>workPrimaryCaretaker</t>
  </si>
  <si>
    <t>currently working - primary caretaker</t>
  </si>
  <si>
    <t>work_primary_caretaker</t>
  </si>
  <si>
    <t>CFWKPCAR</t>
  </si>
  <si>
    <t>workOtherCaretaker</t>
  </si>
  <si>
    <t>currently working - other caretaker</t>
  </si>
  <si>
    <t>work_other_caretaker</t>
  </si>
  <si>
    <t>CFWKOCAR</t>
  </si>
  <si>
    <t>inSchoolPrimaryCaretaker</t>
  </si>
  <si>
    <t>currently in school - pimrary caretaker</t>
  </si>
  <si>
    <t>in_school_primary_caretaker</t>
  </si>
  <si>
    <t>CFSCCARE</t>
  </si>
  <si>
    <t>inSchoolOtherCaretaker</t>
  </si>
  <si>
    <t>currently in school - other caretaker</t>
  </si>
  <si>
    <t>in_school_other_caretaker</t>
  </si>
  <si>
    <t>CFSCADUL</t>
  </si>
  <si>
    <t>totalIncomeChildHousehold</t>
  </si>
  <si>
    <t>totalIncome</t>
  </si>
  <si>
    <t>total income in the child's household</t>
  </si>
  <si>
    <t>total_income_child_household</t>
  </si>
  <si>
    <t>CFINCOME</t>
  </si>
  <si>
    <t>medicalInsuranceChild</t>
  </si>
  <si>
    <t>child's medical insurance</t>
  </si>
  <si>
    <t>medical_insurance_child</t>
  </si>
  <si>
    <t>CFINSUR</t>
  </si>
  <si>
    <t>primaryLanguageChild</t>
  </si>
  <si>
    <t>language</t>
  </si>
  <si>
    <t>primary language spoken to the child</t>
  </si>
  <si>
    <t>primary_language_child</t>
  </si>
  <si>
    <t>CFLANG</t>
  </si>
  <si>
    <t>primaryLanguageChildOtherText</t>
  </si>
  <si>
    <t>language: other - specify</t>
  </si>
  <si>
    <t>primary_language_child_other_text</t>
  </si>
  <si>
    <t>CFOTHLAN</t>
  </si>
  <si>
    <t>isSecondaryLanguageChild</t>
  </si>
  <si>
    <t>is secondary language spoken to the child</t>
  </si>
  <si>
    <t>is_secondary_language_child</t>
  </si>
  <si>
    <t>CFSECLAN</t>
  </si>
  <si>
    <t>secondaryLanguageChild</t>
  </si>
  <si>
    <t>secondary language spoken to the child</t>
  </si>
  <si>
    <t>secondary_language_child</t>
  </si>
  <si>
    <t>CFSECOND</t>
  </si>
  <si>
    <t>secondaryLanguageChildOtherText</t>
  </si>
  <si>
    <t>secondary language: other -specify</t>
  </si>
  <si>
    <t>secondary_language_child_other_text</t>
  </si>
  <si>
    <t>CFOTHSEC</t>
  </si>
  <si>
    <t>numberPlaceChildLive</t>
  </si>
  <si>
    <t>number of places the child has lived since discharge</t>
  </si>
  <si>
    <t>number_place_child_live</t>
  </si>
  <si>
    <t>CFNMPLLV</t>
  </si>
  <si>
    <t>zipcode</t>
  </si>
  <si>
    <t>child's current zipcode</t>
  </si>
  <si>
    <t>NF3ZIP3</t>
  </si>
  <si>
    <t>visitingNurseReceive</t>
  </si>
  <si>
    <t>receive</t>
  </si>
  <si>
    <t>visiting nurse - received</t>
  </si>
  <si>
    <t>visiting_nurse_receive</t>
  </si>
  <si>
    <t>CFNURSEV</t>
  </si>
  <si>
    <t>visitingNurseNeed</t>
  </si>
  <si>
    <t>visiting nurse - need</t>
  </si>
  <si>
    <t>visiting_nurse_need</t>
  </si>
  <si>
    <t>CFNDNRSV</t>
  </si>
  <si>
    <t>homeNurseReceive</t>
  </si>
  <si>
    <t>home nurse - received</t>
  </si>
  <si>
    <t>home_nurse_receive</t>
  </si>
  <si>
    <t>CFNURSEH</t>
  </si>
  <si>
    <t>homeNurseNeed</t>
  </si>
  <si>
    <t>home nurse - need</t>
  </si>
  <si>
    <t>home_nurse_need</t>
  </si>
  <si>
    <t>CFNDNRSH</t>
  </si>
  <si>
    <t>otPtReceive</t>
  </si>
  <si>
    <t>ot / pt - received</t>
  </si>
  <si>
    <t>ot_pt_receive</t>
  </si>
  <si>
    <t>CFOTPT</t>
  </si>
  <si>
    <t>otPtNeed</t>
  </si>
  <si>
    <t>ot / pt - need</t>
  </si>
  <si>
    <t>ot_pt_need</t>
  </si>
  <si>
    <t>CFNDOTPT</t>
  </si>
  <si>
    <t>speechTherapyReceive</t>
  </si>
  <si>
    <t>speech theray - received</t>
  </si>
  <si>
    <t>speech_therapy_receive</t>
  </si>
  <si>
    <t>CFSPEECH</t>
  </si>
  <si>
    <t>speechTherapyNeed</t>
  </si>
  <si>
    <t>speech theray - needed</t>
  </si>
  <si>
    <t>speech_therapy_need</t>
  </si>
  <si>
    <t>CFNDSPCH</t>
  </si>
  <si>
    <t>earlyInterventionReceive</t>
  </si>
  <si>
    <t>early intervention - received</t>
  </si>
  <si>
    <t>early_intervention_receive</t>
  </si>
  <si>
    <t>CFEARLY</t>
  </si>
  <si>
    <t>earlyInterventionNeed</t>
  </si>
  <si>
    <t>early intervention - needed</t>
  </si>
  <si>
    <t>early_intervention_need</t>
  </si>
  <si>
    <t>CFNDEALY</t>
  </si>
  <si>
    <t>socialWorkForChildReceive</t>
  </si>
  <si>
    <t>social work for the child - received</t>
  </si>
  <si>
    <t>social_work_for_child_receive</t>
  </si>
  <si>
    <t>CFSOCIAL</t>
  </si>
  <si>
    <t>socialWorkForChildNeed</t>
  </si>
  <si>
    <t>social work for the child - needed</t>
  </si>
  <si>
    <t>social_work_for_child_need</t>
  </si>
  <si>
    <t>CFNDSOCL</t>
  </si>
  <si>
    <t>specialClinicReceive</t>
  </si>
  <si>
    <t>special clinical visit - received</t>
  </si>
  <si>
    <t>special_clinic_receive</t>
  </si>
  <si>
    <t>CFCLINIC</t>
  </si>
  <si>
    <t>specialClinicNeed</t>
  </si>
  <si>
    <t>special clinical visit - needed</t>
  </si>
  <si>
    <t>special_clinic_need</t>
  </si>
  <si>
    <t>CFNDCLIN</t>
  </si>
  <si>
    <t>pulmonaryReceive</t>
  </si>
  <si>
    <t>pulmonary - received</t>
  </si>
  <si>
    <t>pulmonary_receive</t>
  </si>
  <si>
    <t>CFCVPUL</t>
  </si>
  <si>
    <t>pulmonaryNeed</t>
  </si>
  <si>
    <t>pulmonary - needed</t>
  </si>
  <si>
    <t>pulmonary_need</t>
  </si>
  <si>
    <t>CFNDPUL</t>
  </si>
  <si>
    <t>ophthalmologicReceive</t>
  </si>
  <si>
    <t>ophthalmologic - received</t>
  </si>
  <si>
    <t>ophthalmologic_receive</t>
  </si>
  <si>
    <t>CFCVOPH</t>
  </si>
  <si>
    <t>ophthalmologicNeed</t>
  </si>
  <si>
    <t>ophthalmologic - needed</t>
  </si>
  <si>
    <t>ophthalmologic_need</t>
  </si>
  <si>
    <t>CFNDOPH</t>
  </si>
  <si>
    <t>gastrointestinalReceive</t>
  </si>
  <si>
    <t>gastrointestinal - received</t>
  </si>
  <si>
    <t>gastrointestinal_receive</t>
  </si>
  <si>
    <t>CFCVGAS</t>
  </si>
  <si>
    <t>gastrointestinalNeed</t>
  </si>
  <si>
    <t>gastrointestinal - needed</t>
  </si>
  <si>
    <t>gastrointestinal_need</t>
  </si>
  <si>
    <t>CFNDGAS</t>
  </si>
  <si>
    <t>audiologicReceive</t>
  </si>
  <si>
    <t>audiologic - received</t>
  </si>
  <si>
    <t>audiologic_receive</t>
  </si>
  <si>
    <t>CFCVAUD</t>
  </si>
  <si>
    <t>audiologicNeed</t>
  </si>
  <si>
    <t>audiologic - needed</t>
  </si>
  <si>
    <t>audiologic_need</t>
  </si>
  <si>
    <t>CFNDAUD</t>
  </si>
  <si>
    <t>neurologicReceive</t>
  </si>
  <si>
    <t>neurologic - received</t>
  </si>
  <si>
    <t>neurologic_receive</t>
  </si>
  <si>
    <t>CFCVNEU</t>
  </si>
  <si>
    <t>neurologicNeed</t>
  </si>
  <si>
    <t>neurologic - needed</t>
  </si>
  <si>
    <t>neurologic_need</t>
  </si>
  <si>
    <t>CFNDNEU</t>
  </si>
  <si>
    <t>otherReceive</t>
  </si>
  <si>
    <t>other - received</t>
  </si>
  <si>
    <t>other_receive</t>
  </si>
  <si>
    <t>CFCVOTH</t>
  </si>
  <si>
    <t>otherNeed</t>
  </si>
  <si>
    <t>other - needed</t>
  </si>
  <si>
    <t>other_need</t>
  </si>
  <si>
    <t>CFNDOTH</t>
  </si>
  <si>
    <t>otherNeedText</t>
  </si>
  <si>
    <t>other_need_text</t>
  </si>
  <si>
    <t>CFCVOSP</t>
  </si>
  <si>
    <t>neurodevelopmentReceive</t>
  </si>
  <si>
    <t>neuraldevelopment - received</t>
  </si>
  <si>
    <t>neurodevelopment_receive</t>
  </si>
  <si>
    <t>CFEVAL</t>
  </si>
  <si>
    <t>neurodevelopmentNeed</t>
  </si>
  <si>
    <t>neuraldevelopment - needed</t>
  </si>
  <si>
    <t>neurodevelopment_need</t>
  </si>
  <si>
    <t>CFNDEVAL</t>
  </si>
  <si>
    <t>prematureFollowupClinicReceive</t>
  </si>
  <si>
    <t>premature followup clinic - received</t>
  </si>
  <si>
    <t>premature_followup_clinic_receive</t>
  </si>
  <si>
    <t>CFPREFU</t>
  </si>
  <si>
    <t>prematureFollowupClinicNeed</t>
  </si>
  <si>
    <t>premature followup clinic - needed</t>
  </si>
  <si>
    <t>premature_followup_clinic_need</t>
  </si>
  <si>
    <t>CFNDPFU</t>
  </si>
  <si>
    <t>regularDoctor</t>
  </si>
  <si>
    <t>does the child have a regular doctor?</t>
  </si>
  <si>
    <t>regular_doctor</t>
  </si>
  <si>
    <t>CFREGDR</t>
  </si>
  <si>
    <t>resideChronicCareFacility</t>
  </si>
  <si>
    <t>does the child reside in a chronic care facility?</t>
  </si>
  <si>
    <t>reside_chronic_care_facility</t>
  </si>
  <si>
    <t>CFCCFAC</t>
  </si>
  <si>
    <t>takenCareOfByOther</t>
  </si>
  <si>
    <t>does the child taken care of by someone other than the primary caregiver?</t>
  </si>
  <si>
    <t>taken_care_of_by_other</t>
  </si>
  <si>
    <t>CFCAROT</t>
  </si>
  <si>
    <t>traditionalCenterCare</t>
  </si>
  <si>
    <t>traditional center-based day/child care</t>
  </si>
  <si>
    <t>traditional_center_care</t>
  </si>
  <si>
    <t>CFTRDYCR</t>
  </si>
  <si>
    <t>traditionalCenterCareAvgHrPerWeek</t>
  </si>
  <si>
    <t>traditional center-based day/child care- average hours per week</t>
  </si>
  <si>
    <t>traditional_center_care_avg_hr_per_week</t>
  </si>
  <si>
    <t>CFTRDCHR</t>
  </si>
  <si>
    <t>medicalChildCare</t>
  </si>
  <si>
    <t>medical child care by medical professionals</t>
  </si>
  <si>
    <t>medical_child_care</t>
  </si>
  <si>
    <t>CFSPDYCR</t>
  </si>
  <si>
    <t>medicalChildCareAvgHrPerWeek</t>
  </si>
  <si>
    <t>medical child care by medical professionals - average hours per week</t>
  </si>
  <si>
    <t>medical_child_care_avg_hr_per_week</t>
  </si>
  <si>
    <t>CFSPDCHR</t>
  </si>
  <si>
    <t>medicalChildCareWhere</t>
  </si>
  <si>
    <t>homeCareLocation</t>
  </si>
  <si>
    <t>medical child care by medical professionals - where</t>
  </si>
  <si>
    <t>medical_child_care_where</t>
  </si>
  <si>
    <t>CFSPDCLC</t>
  </si>
  <si>
    <t>traditionalHomeCare</t>
  </si>
  <si>
    <t>traditional home-based day/child care</t>
  </si>
  <si>
    <t>traditional_home_care</t>
  </si>
  <si>
    <t>CFHMDYCR</t>
  </si>
  <si>
    <t>traditionalHomeCareAvgHrPerWeek</t>
  </si>
  <si>
    <t>traditional home-based day/child care- average hours per week</t>
  </si>
  <si>
    <t>traditional_home_care_avg_hr_per_week</t>
  </si>
  <si>
    <t>CFHMDCHR</t>
  </si>
  <si>
    <t>traditionalHomeCareWhose</t>
  </si>
  <si>
    <t>traditional home-based day/child care- whose home</t>
  </si>
  <si>
    <t>traditional_home_care_whose</t>
  </si>
  <si>
    <t>CFHMDCLC</t>
  </si>
  <si>
    <t>babysitter</t>
  </si>
  <si>
    <t>CFBBYSIT</t>
  </si>
  <si>
    <t>babysitterAvgHrPerWeek</t>
  </si>
  <si>
    <t>babysitter - average hours to week</t>
  </si>
  <si>
    <t>babysitter_avg_hr_per_week</t>
  </si>
  <si>
    <t>CFBSITHR</t>
  </si>
  <si>
    <t>babysitterRelation</t>
  </si>
  <si>
    <t>babysitter - relation to the child</t>
  </si>
  <si>
    <t>babysitter_relation</t>
  </si>
  <si>
    <t>CFBABSTR</t>
  </si>
  <si>
    <t>SESInterviewWhere</t>
  </si>
  <si>
    <t>interviewLocation</t>
  </si>
  <si>
    <t>where was interview conducted</t>
  </si>
  <si>
    <t>ses_interview_where</t>
  </si>
  <si>
    <t>CFPLACE</t>
  </si>
  <si>
    <t>SESInterviewDate</t>
  </si>
  <si>
    <t>date of ses interview</t>
  </si>
  <si>
    <t>ses_interview_date</t>
  </si>
  <si>
    <t>CFCOMPDT</t>
  </si>
  <si>
    <t>Medical History</t>
  </si>
  <si>
    <t>rehospitalize</t>
  </si>
  <si>
    <t>has been re-hospitalized since discharge?</t>
  </si>
  <si>
    <t>DFREHOSP</t>
  </si>
  <si>
    <t>numberRehospitalize</t>
  </si>
  <si>
    <t>how many times has the child been re-hospitalized</t>
  </si>
  <si>
    <t>number_rehospitalize</t>
  </si>
  <si>
    <t>DFTIMES</t>
  </si>
  <si>
    <t>operation</t>
  </si>
  <si>
    <t>has the child had any operations</t>
  </si>
  <si>
    <t>DFOPERAT</t>
  </si>
  <si>
    <t>operationTypanostomyTube</t>
  </si>
  <si>
    <t>typanostomy tubes placed?</t>
  </si>
  <si>
    <t>operation_typanostomy_tube</t>
  </si>
  <si>
    <t>DFOPTYMP</t>
  </si>
  <si>
    <t>operationTracheostomy</t>
  </si>
  <si>
    <t>tracheostomy?</t>
  </si>
  <si>
    <t>operation_tracheostomy</t>
  </si>
  <si>
    <t>DFOPTRAC</t>
  </si>
  <si>
    <t>operationEyeSurgery</t>
  </si>
  <si>
    <t>eye surgery?</t>
  </si>
  <si>
    <t>operation_eye_surgery</t>
  </si>
  <si>
    <t>DFOP_EYE</t>
  </si>
  <si>
    <t>operationEyeSurgeryReason</t>
  </si>
  <si>
    <t>eyeSurgeryReason</t>
  </si>
  <si>
    <t>eye surgery - reason</t>
  </si>
  <si>
    <t>operation_eye_surgery_reason</t>
  </si>
  <si>
    <t>DFOPEYER</t>
  </si>
  <si>
    <t>operationHerniaSurgery</t>
  </si>
  <si>
    <t>hernia surgery?</t>
  </si>
  <si>
    <t>operation_hernia_surgery</t>
  </si>
  <si>
    <t>DFOPHERN</t>
  </si>
  <si>
    <t>operationGastrostomyTube</t>
  </si>
  <si>
    <t>gastrostomy tube/button placed?</t>
  </si>
  <si>
    <t>operation_gastrostomy_tube</t>
  </si>
  <si>
    <t>DFOPGAST</t>
  </si>
  <si>
    <t>operationFundoplication</t>
  </si>
  <si>
    <t>fundoplication?</t>
  </si>
  <si>
    <t>operation_fundoplication</t>
  </si>
  <si>
    <t>DFOPFUND</t>
  </si>
  <si>
    <t>operationShuntForHydrocephalus</t>
  </si>
  <si>
    <t>shunt for hydrocephalus?</t>
  </si>
  <si>
    <t>operation_shunt_for_hydrocephalus</t>
  </si>
  <si>
    <t>DFOPSHUN</t>
  </si>
  <si>
    <t>operationReanastomosisOfLargeOrSmallIntenstine</t>
  </si>
  <si>
    <t>reanastomosis of large or small intestine?</t>
  </si>
  <si>
    <t>operation_reanastomosis_of_large_or_small_intenstine</t>
  </si>
  <si>
    <t>DFOPREAN</t>
  </si>
  <si>
    <t>operationPDALigation</t>
  </si>
  <si>
    <t>PDA ligation?</t>
  </si>
  <si>
    <t>operation_pda_ligation</t>
  </si>
  <si>
    <t>DFOPPDA</t>
  </si>
  <si>
    <t>operationBrochoscopy</t>
  </si>
  <si>
    <t>bronchoscopy?</t>
  </si>
  <si>
    <t>operation_brochoscopy</t>
  </si>
  <si>
    <t>DFOPBRON</t>
  </si>
  <si>
    <t>operationHypospadiusRepair</t>
  </si>
  <si>
    <t>hypospadius repair?</t>
  </si>
  <si>
    <t>operation_hypospadius_repair</t>
  </si>
  <si>
    <t>DFOPHYPO</t>
  </si>
  <si>
    <t>operationOther</t>
  </si>
  <si>
    <t>operation_other</t>
  </si>
  <si>
    <t>DFOPOTH</t>
  </si>
  <si>
    <t>operationOtherText</t>
  </si>
  <si>
    <t>operation_other_text</t>
  </si>
  <si>
    <t>DFOPOTHS</t>
  </si>
  <si>
    <t>medication</t>
  </si>
  <si>
    <t>medication repeatedly in the last 3 months?</t>
  </si>
  <si>
    <t>DFMEDIC</t>
  </si>
  <si>
    <t>vitaminMineralSupplement</t>
  </si>
  <si>
    <t>medicationUse</t>
  </si>
  <si>
    <t>vitamin/mineral supplements?</t>
  </si>
  <si>
    <t>vitamin_mineral_supplement</t>
  </si>
  <si>
    <t>NF4NUTRI</t>
  </si>
  <si>
    <t>highCaloricFormula</t>
  </si>
  <si>
    <t>high caloric formulas?</t>
  </si>
  <si>
    <t>high_caloric_formula</t>
  </si>
  <si>
    <t>NF4CALOR</t>
  </si>
  <si>
    <t>diuretics</t>
  </si>
  <si>
    <t>diuretics?</t>
  </si>
  <si>
    <t>NF4DIUR</t>
  </si>
  <si>
    <t>antiRefluxMedication</t>
  </si>
  <si>
    <t>anti-reflux medications?</t>
  </si>
  <si>
    <t>anti_reflux_medication</t>
  </si>
  <si>
    <t>NF4RFLUX</t>
  </si>
  <si>
    <t>bronchodilator</t>
  </si>
  <si>
    <t>bronchodilators?</t>
  </si>
  <si>
    <t>NF4BRONC</t>
  </si>
  <si>
    <t>inhaledSteroid</t>
  </si>
  <si>
    <t>inhaled steroids?</t>
  </si>
  <si>
    <t>inhaled_steroid</t>
  </si>
  <si>
    <t>DFIHSTRD</t>
  </si>
  <si>
    <t>oralIvSteroid</t>
  </si>
  <si>
    <t>oral or iv steroids?</t>
  </si>
  <si>
    <t>oral_iv_steroid</t>
  </si>
  <si>
    <t>DFOLSTRD</t>
  </si>
  <si>
    <t>otherAsthmaMedication</t>
  </si>
  <si>
    <t>other asthma medications?</t>
  </si>
  <si>
    <t>other_asthma_medication</t>
  </si>
  <si>
    <t>DFOASMA</t>
  </si>
  <si>
    <t>decongestantColdAllergyMedication</t>
  </si>
  <si>
    <t>decongestants/cold/allergy medications</t>
  </si>
  <si>
    <t>decongestant_cold_allergy_medication</t>
  </si>
  <si>
    <t>DFALGYMD</t>
  </si>
  <si>
    <t>anticonvulsantMedication</t>
  </si>
  <si>
    <t>anticonvulsant_medication</t>
  </si>
  <si>
    <t>NF4ANTCV</t>
  </si>
  <si>
    <t>prophylaticAntibiotics</t>
  </si>
  <si>
    <t>prophylatic antibiotics?</t>
  </si>
  <si>
    <t>prophylatic_antibiotics</t>
  </si>
  <si>
    <t>DFPRANTI</t>
  </si>
  <si>
    <t>antibiotics?</t>
  </si>
  <si>
    <t>DFANTBIO</t>
  </si>
  <si>
    <t>constipationMedication</t>
  </si>
  <si>
    <t>constipation medications?</t>
  </si>
  <si>
    <t>constipation_medication</t>
  </si>
  <si>
    <t>DFCNSPAT</t>
  </si>
  <si>
    <t>bloodPressureMedication</t>
  </si>
  <si>
    <t>blood pressure medications?</t>
  </si>
  <si>
    <t>blood_pressure_medication</t>
  </si>
  <si>
    <t>DFBPMED</t>
  </si>
  <si>
    <t>thyroidMedication</t>
  </si>
  <si>
    <t>thyroid medications?</t>
  </si>
  <si>
    <t>thyroid_medication</t>
  </si>
  <si>
    <t>DFTHYRD</t>
  </si>
  <si>
    <t>muscleRelaxants</t>
  </si>
  <si>
    <t>muscle relaxants?</t>
  </si>
  <si>
    <t>muscle_relaxants</t>
  </si>
  <si>
    <t>DFMRELAX</t>
  </si>
  <si>
    <t>botox</t>
  </si>
  <si>
    <t>botox?</t>
  </si>
  <si>
    <t>DFBOTOX</t>
  </si>
  <si>
    <t>otherMedication</t>
  </si>
  <si>
    <t>other medications?</t>
  </si>
  <si>
    <t>other_medication</t>
  </si>
  <si>
    <t>NF4OTMDS</t>
  </si>
  <si>
    <t>otherMedicationText</t>
  </si>
  <si>
    <t>other medications - specify</t>
  </si>
  <si>
    <t>other_medication_text</t>
  </si>
  <si>
    <t>NF4OTHSP</t>
  </si>
  <si>
    <t>seizure</t>
  </si>
  <si>
    <t>has the child had one or more seizures since discharge?</t>
  </si>
  <si>
    <t>DFSEIZ</t>
  </si>
  <si>
    <t>medicalEquipmentHomeUse</t>
  </si>
  <si>
    <t>medical equipment for home use?</t>
  </si>
  <si>
    <t>medical_equipment_home_use</t>
  </si>
  <si>
    <t>DFRECVD</t>
  </si>
  <si>
    <t>apneaMonitor</t>
  </si>
  <si>
    <t>apnea monitor</t>
  </si>
  <si>
    <t>apnea_monitor</t>
  </si>
  <si>
    <t>DFAPNEA</t>
  </si>
  <si>
    <t>oxygen</t>
  </si>
  <si>
    <t>DFOXYGEN</t>
  </si>
  <si>
    <t>ventilatorCPAP</t>
  </si>
  <si>
    <t>ventilator/CPAP</t>
  </si>
  <si>
    <t>ventilator_cpap</t>
  </si>
  <si>
    <t>DFVENT</t>
  </si>
  <si>
    <t>gastrostomyTube</t>
  </si>
  <si>
    <t>gastrostomy tube / tube feeding?</t>
  </si>
  <si>
    <t>gastrostomy_tube</t>
  </si>
  <si>
    <t>DFTUBE</t>
  </si>
  <si>
    <t>tracheostomy</t>
  </si>
  <si>
    <t>DFTRACH</t>
  </si>
  <si>
    <t>pulseOximeter</t>
  </si>
  <si>
    <t>pulse oximeter</t>
  </si>
  <si>
    <t>pulse_oximeter</t>
  </si>
  <si>
    <t>DFPLSEOX</t>
  </si>
  <si>
    <t>fluShot</t>
  </si>
  <si>
    <t>since discharge, has the child had flu shot?</t>
  </si>
  <si>
    <t>flu_shot</t>
  </si>
  <si>
    <t>DFFLUSHT</t>
  </si>
  <si>
    <t>RSVProphylaxis</t>
  </si>
  <si>
    <t>since discharge, has the child had RSV prophylaxis?</t>
  </si>
  <si>
    <t>rsv_prophylaxis</t>
  </si>
  <si>
    <t>DFRSVPRO</t>
  </si>
  <si>
    <t>independentFeedSelf</t>
  </si>
  <si>
    <t>does the child independently feed self?</t>
  </si>
  <si>
    <t>independent_feed_self</t>
  </si>
  <si>
    <t>DFSELF</t>
  </si>
  <si>
    <t>assistedEatByMouth</t>
  </si>
  <si>
    <t>does the child assisted given to eat by mouth?</t>
  </si>
  <si>
    <t>assisted_eat_by_mouth</t>
  </si>
  <si>
    <t>DFASSIST</t>
  </si>
  <si>
    <t>tubeFeed</t>
  </si>
  <si>
    <t>does the child tube feed?</t>
  </si>
  <si>
    <t>tube_feed</t>
  </si>
  <si>
    <t>DFTUBFED</t>
  </si>
  <si>
    <t>TPN</t>
  </si>
  <si>
    <t>tpn</t>
  </si>
  <si>
    <t>DF_TPN</t>
  </si>
  <si>
    <t>dietMilk</t>
  </si>
  <si>
    <t>is the child diet milk?</t>
  </si>
  <si>
    <t>diet_milk</t>
  </si>
  <si>
    <t>DF_MILK</t>
  </si>
  <si>
    <t>dietTableFood</t>
  </si>
  <si>
    <t>is the child diet table food?</t>
  </si>
  <si>
    <t>diet_table_food</t>
  </si>
  <si>
    <t>DFTBLFOD</t>
  </si>
  <si>
    <t>dietSoftFood</t>
  </si>
  <si>
    <t>is the child diet soft food?</t>
  </si>
  <si>
    <t>diet_soft_food</t>
  </si>
  <si>
    <t>DFSFTFOD</t>
  </si>
  <si>
    <t>dietLiquid</t>
  </si>
  <si>
    <t>is the child diet liquids?</t>
  </si>
  <si>
    <t>diet_liquid</t>
  </si>
  <si>
    <t>DFLIQUID</t>
  </si>
  <si>
    <t>dietThickendLiquid</t>
  </si>
  <si>
    <t>is the child diet thickened liquids?</t>
  </si>
  <si>
    <t>diet_thickend_liquid</t>
  </si>
  <si>
    <t>DFTHKLQD</t>
  </si>
  <si>
    <t>subcutaneousFatNecrosis</t>
  </si>
  <si>
    <t>subcutaneous fat necrosis?</t>
  </si>
  <si>
    <t>subcutaneous_fat_necrosis</t>
  </si>
  <si>
    <t>OF4FTNEC</t>
  </si>
  <si>
    <t>equipmentForStanding</t>
  </si>
  <si>
    <t>equipment (for standing/foot)</t>
  </si>
  <si>
    <t>equipment_for_standing</t>
  </si>
  <si>
    <t>DFEQUIP</t>
  </si>
  <si>
    <t>adaptedStroller</t>
  </si>
  <si>
    <t>adapted stroller / wheelchair</t>
  </si>
  <si>
    <t>adapted_stroller</t>
  </si>
  <si>
    <t>DFSTROLL</t>
  </si>
  <si>
    <t>bracesOrthotics</t>
  </si>
  <si>
    <t>braces / orthotics</t>
  </si>
  <si>
    <t>braces_orthotics</t>
  </si>
  <si>
    <t>DFBRACES</t>
  </si>
  <si>
    <t>walker</t>
  </si>
  <si>
    <t>DFWALKER</t>
  </si>
  <si>
    <t>stander</t>
  </si>
  <si>
    <t>DFSTNDER</t>
  </si>
  <si>
    <t>cornerChairTumblerForm</t>
  </si>
  <si>
    <t>corner chairs or tumbler form</t>
  </si>
  <si>
    <t>corner_chair_tumbler_form</t>
  </si>
  <si>
    <t>DFCNRCHR</t>
  </si>
  <si>
    <t>Medical Exam</t>
  </si>
  <si>
    <t>weight_cm</t>
  </si>
  <si>
    <t>EFWEIGHT</t>
  </si>
  <si>
    <t>length_cm</t>
  </si>
  <si>
    <t>EFLENGTH</t>
  </si>
  <si>
    <t>headCircumference_cm</t>
  </si>
  <si>
    <t>head_circumference_cm</t>
  </si>
  <si>
    <t>EFHC</t>
  </si>
  <si>
    <t>strabismusRight</t>
  </si>
  <si>
    <t>eye</t>
  </si>
  <si>
    <t>strabismus - right</t>
  </si>
  <si>
    <t>strabismus_right</t>
  </si>
  <si>
    <t>NF5STRRT</t>
  </si>
  <si>
    <t>strabismusLeft</t>
  </si>
  <si>
    <t>strabismus - left</t>
  </si>
  <si>
    <t>strabismus_left</t>
  </si>
  <si>
    <t>NF5STRLT</t>
  </si>
  <si>
    <t>nystagmusRight</t>
  </si>
  <si>
    <t>nystagmus - right</t>
  </si>
  <si>
    <t>nystagmus_right</t>
  </si>
  <si>
    <t>NF5NYSRT</t>
  </si>
  <si>
    <t>nystagmusLeft</t>
  </si>
  <si>
    <t>nystagmus - left</t>
  </si>
  <si>
    <t>nystagmus_left</t>
  </si>
  <si>
    <t>NF5NYSLT</t>
  </si>
  <si>
    <t>rovingEyeMovementRight</t>
  </si>
  <si>
    <t>roving eye movement - right</t>
  </si>
  <si>
    <t>roving_eye_movement_right</t>
  </si>
  <si>
    <t>NF5ROVRT</t>
  </si>
  <si>
    <t>rovingEyeMovementLeft</t>
  </si>
  <si>
    <t>roving eye movement - left</t>
  </si>
  <si>
    <t>roving_eye_movement_left</t>
  </si>
  <si>
    <t>NF5ROVLT</t>
  </si>
  <si>
    <t>eyeTrackRight</t>
  </si>
  <si>
    <t>tracks - right</t>
  </si>
  <si>
    <t>eye_track_right</t>
  </si>
  <si>
    <t>NF5TRKRT</t>
  </si>
  <si>
    <t>eyeTrackLeft</t>
  </si>
  <si>
    <t>tracks - left</t>
  </si>
  <si>
    <t>eye_track_left</t>
  </si>
  <si>
    <t>NF5TRKLT</t>
  </si>
  <si>
    <t>visionRight</t>
  </si>
  <si>
    <t>vision</t>
  </si>
  <si>
    <t>vision - right</t>
  </si>
  <si>
    <t>vision_right</t>
  </si>
  <si>
    <t>EFVISINR</t>
  </si>
  <si>
    <t>visionLeft</t>
  </si>
  <si>
    <t>vision - left</t>
  </si>
  <si>
    <t>vision_left</t>
  </si>
  <si>
    <t>EFVISINL</t>
  </si>
  <si>
    <t>audiologicAssessment</t>
  </si>
  <si>
    <t>audiologic assessment?</t>
  </si>
  <si>
    <t>audiologic_assessment</t>
  </si>
  <si>
    <t>EFAUDIO</t>
  </si>
  <si>
    <t>audiologicPendingForAssessment</t>
  </si>
  <si>
    <t>consult pending for assessment?</t>
  </si>
  <si>
    <t>audiologic_pending_for_assessment</t>
  </si>
  <si>
    <t>EFCONPEN</t>
  </si>
  <si>
    <t>visualReinforcementAudiometry</t>
  </si>
  <si>
    <t>visual reinforcement audiometry</t>
  </si>
  <si>
    <t>visual_reinforcement_audiometry</t>
  </si>
  <si>
    <t>NF5VRA</t>
  </si>
  <si>
    <t>VRARight</t>
  </si>
  <si>
    <t>hearing</t>
  </si>
  <si>
    <t>VRA - right</t>
  </si>
  <si>
    <t>vra_right</t>
  </si>
  <si>
    <t>NF5VRART</t>
  </si>
  <si>
    <t>VRALeft</t>
  </si>
  <si>
    <t>VRA - left</t>
  </si>
  <si>
    <t>vra_left</t>
  </si>
  <si>
    <t>NF5VRALT</t>
  </si>
  <si>
    <t>VRASoundField</t>
  </si>
  <si>
    <t>VRA - sound field</t>
  </si>
  <si>
    <t>vra_sound_field</t>
  </si>
  <si>
    <t>NF5VRASN</t>
  </si>
  <si>
    <t>ABR</t>
  </si>
  <si>
    <t>ABR?</t>
  </si>
  <si>
    <t>abr</t>
  </si>
  <si>
    <t>NF5ABR</t>
  </si>
  <si>
    <t>ABRRight</t>
  </si>
  <si>
    <t>ABR - right</t>
  </si>
  <si>
    <t>abr_right</t>
  </si>
  <si>
    <t>NF5ABRRT</t>
  </si>
  <si>
    <t>ABRLeft</t>
  </si>
  <si>
    <t>ABR - left</t>
  </si>
  <si>
    <t>abr_left</t>
  </si>
  <si>
    <t>NF5ABRLT</t>
  </si>
  <si>
    <t>hearingTestUnknown</t>
  </si>
  <si>
    <t>unknown type of hearing test?</t>
  </si>
  <si>
    <t>hearing_test_unknown</t>
  </si>
  <si>
    <t>NF5UKHR</t>
  </si>
  <si>
    <t>hearingTestUnknownRight</t>
  </si>
  <si>
    <t>unknown type of hearing test - right</t>
  </si>
  <si>
    <t>hearing_test_unknown_right</t>
  </si>
  <si>
    <t>NF5UKHRT</t>
  </si>
  <si>
    <t>hearingTestUnknownLeft</t>
  </si>
  <si>
    <t>unknown type of hearing test - left</t>
  </si>
  <si>
    <t>hearing_test_unknown_left</t>
  </si>
  <si>
    <t>NF5UKHLT</t>
  </si>
  <si>
    <t>hearingImpaired</t>
  </si>
  <si>
    <t>hearing impaired?</t>
  </si>
  <si>
    <t>hearing_impaired</t>
  </si>
  <si>
    <t>EFHEARIM</t>
  </si>
  <si>
    <t>hearingAidRequirement</t>
  </si>
  <si>
    <t>hearingAid</t>
  </si>
  <si>
    <t>hearing aid requirement</t>
  </si>
  <si>
    <t>hearing_aid_requirement</t>
  </si>
  <si>
    <t>EFHRDIS</t>
  </si>
  <si>
    <t>hearingImplant</t>
  </si>
  <si>
    <t>hearing implant?</t>
  </si>
  <si>
    <t>hearing_implant</t>
  </si>
  <si>
    <t>OFIMPLAN</t>
  </si>
  <si>
    <t>swallowing</t>
  </si>
  <si>
    <t>swallow</t>
  </si>
  <si>
    <t>EFSWALL</t>
  </si>
  <si>
    <t>dysphagia</t>
  </si>
  <si>
    <t>NF5DYSPH</t>
  </si>
  <si>
    <t>aspiration</t>
  </si>
  <si>
    <t>documented aspiration</t>
  </si>
  <si>
    <t>NF5ASPIR</t>
  </si>
  <si>
    <t>abnormalVoice</t>
  </si>
  <si>
    <t>abnormal voice</t>
  </si>
  <si>
    <t>abnormal_voice</t>
  </si>
  <si>
    <t>NF5ABVOC</t>
  </si>
  <si>
    <t>drooling</t>
  </si>
  <si>
    <t>NF5DROOL</t>
  </si>
  <si>
    <t>nothingByMouth</t>
  </si>
  <si>
    <t>nothing by mouth</t>
  </si>
  <si>
    <t>nothing_by_mouth</t>
  </si>
  <si>
    <t>NF5NPO</t>
  </si>
  <si>
    <t>observedAbnormalMovement</t>
  </si>
  <si>
    <t>observed abnormal movements</t>
  </si>
  <si>
    <t>observed_abnormal_movement</t>
  </si>
  <si>
    <t>EFABREST</t>
  </si>
  <si>
    <t>observedAbnormalMovementShortJerky</t>
  </si>
  <si>
    <t>observed abnormal movements - short - jerky</t>
  </si>
  <si>
    <t>observed_abnormal_movement_short_jerky</t>
  </si>
  <si>
    <t>EFSHORTR</t>
  </si>
  <si>
    <t>observedAbnormalMovementSlowWrithing</t>
  </si>
  <si>
    <t>observed abnormal movements - slow writhing</t>
  </si>
  <si>
    <t>observed_abnormal_movement_slow_writhing</t>
  </si>
  <si>
    <t>EFSLOWR</t>
  </si>
  <si>
    <t>observedAbnormalMovementTremor</t>
  </si>
  <si>
    <t>observed abnormal movements - tremor</t>
  </si>
  <si>
    <t>observed_abnormal_movement_tremor</t>
  </si>
  <si>
    <t>EFTREMRR</t>
  </si>
  <si>
    <t>passiveMuscleToneNeckTrunk</t>
  </si>
  <si>
    <t>passiveMuscleTone</t>
  </si>
  <si>
    <t>passive muscle tone - neck and trunk</t>
  </si>
  <si>
    <t>passive_muscle_tone_neck_trunk</t>
  </si>
  <si>
    <t>NF5NCTRK</t>
  </si>
  <si>
    <t>upperExtremityMuscleToneRight</t>
  </si>
  <si>
    <t>upper extremity muscle tone - right</t>
  </si>
  <si>
    <t>upper_extremity_muscle_tone_right</t>
  </si>
  <si>
    <t>NF5UPEXR</t>
  </si>
  <si>
    <t>upperExtremityMuscleToneLeft</t>
  </si>
  <si>
    <t>upper extremity muscle tone - left</t>
  </si>
  <si>
    <t>upper_extremity_muscle_tone_left</t>
  </si>
  <si>
    <t>NF5UPEXL</t>
  </si>
  <si>
    <t>lowerExtremityMuscleToneHipKneeRight</t>
  </si>
  <si>
    <t>lower extremity muscle tone - hip and knees - right</t>
  </si>
  <si>
    <t>lower_extremity_muscle_tone_hip_knee_right</t>
  </si>
  <si>
    <t>NF5HPKNR</t>
  </si>
  <si>
    <t>lowerExtremityMuscleToneHipKneeLeft</t>
  </si>
  <si>
    <t>lower extremity muscle tone - hip and knees - left</t>
  </si>
  <si>
    <t>lower_extremity_muscle_tone_hip_knee_left</t>
  </si>
  <si>
    <t>NF5HPKNL</t>
  </si>
  <si>
    <t>lowerExtremityMuscleToneAnkleRight</t>
  </si>
  <si>
    <t>lower extremity muscle tone - ankles - right</t>
  </si>
  <si>
    <t>lower_extremity_muscle_tone_ankle_right</t>
  </si>
  <si>
    <t>NF5ANKLR</t>
  </si>
  <si>
    <t>lowerExtremityMuscleToneAnkleLeft</t>
  </si>
  <si>
    <t>lower extremity muscle tone - ankles - left</t>
  </si>
  <si>
    <t>lower_extremity_muscle_tone_ankle_left</t>
  </si>
  <si>
    <t>NF5ANKLL</t>
  </si>
  <si>
    <t>scissoringLegs</t>
  </si>
  <si>
    <t>scissoring of the legs</t>
  </si>
  <si>
    <t>scissoring_legs</t>
  </si>
  <si>
    <t>NF5SCISS</t>
  </si>
  <si>
    <t>handPreference</t>
  </si>
  <si>
    <t>hand preference</t>
  </si>
  <si>
    <t>hand_preference</t>
  </si>
  <si>
    <t>NF5HNDPF</t>
  </si>
  <si>
    <t>protectiveReaction</t>
  </si>
  <si>
    <t>protective reactions</t>
  </si>
  <si>
    <t>protective_reaction</t>
  </si>
  <si>
    <t>NF5PRORF</t>
  </si>
  <si>
    <t>limbMovementUpperLimb</t>
  </si>
  <si>
    <t>limbMovement</t>
  </si>
  <si>
    <t>limb movements - upper limbs</t>
  </si>
  <si>
    <t>limb_movement_upper_limb</t>
  </si>
  <si>
    <t>NF5LMBUP</t>
  </si>
  <si>
    <t>limbMovementLowerLimb</t>
  </si>
  <si>
    <t>limb movements - lower limbs</t>
  </si>
  <si>
    <t>limb_movement_lower_limb</t>
  </si>
  <si>
    <t>NF5LMBLW</t>
  </si>
  <si>
    <t>deepTendonReflexUpperExtremityRight</t>
  </si>
  <si>
    <t>deepTendonReflex</t>
  </si>
  <si>
    <t>deep tendon reflexes - upper extremities - right</t>
  </si>
  <si>
    <t>deep_tendon_reflex_upper_extremity_right</t>
  </si>
  <si>
    <t>NF5UPRRT</t>
  </si>
  <si>
    <t>deepTendonReflexUpperExtremityLeft</t>
  </si>
  <si>
    <t>deep tendon reflexes - upper extremities - left</t>
  </si>
  <si>
    <t>deep_tendon_reflex_upper_extremity_left</t>
  </si>
  <si>
    <t>NF5UPRLT</t>
  </si>
  <si>
    <t>deepTendonReflexKneeRight</t>
  </si>
  <si>
    <t>deep tendon reflexes - knees - right</t>
  </si>
  <si>
    <t>deep_tendon_reflex_knee_right</t>
  </si>
  <si>
    <t>NF5KNERT</t>
  </si>
  <si>
    <t>deepTendonReflexKneeLeft</t>
  </si>
  <si>
    <t>deep tendon reflexes - knees - left</t>
  </si>
  <si>
    <t>deep_tendon_reflex_knee_left</t>
  </si>
  <si>
    <t>NF5KNELT</t>
  </si>
  <si>
    <t>deepTendonReflexAnkleRight</t>
  </si>
  <si>
    <t>deep tendon reflexes - ankles - right</t>
  </si>
  <si>
    <t>deep_tendon_reflex_ankle_right</t>
  </si>
  <si>
    <t>NF5AKLRT</t>
  </si>
  <si>
    <t>deepTendonReflexAnkleLeft</t>
  </si>
  <si>
    <t>deep tendon reflexes - ankles - left</t>
  </si>
  <si>
    <t>deep_tendon_reflex_ankle_left</t>
  </si>
  <si>
    <t>NF5AKLLT</t>
  </si>
  <si>
    <t>ankleClonusRight</t>
  </si>
  <si>
    <t>ankleClonus</t>
  </si>
  <si>
    <t>ankle clonus - right</t>
  </si>
  <si>
    <t>ankle_clonus_right</t>
  </si>
  <si>
    <t>NF5CLNRT</t>
  </si>
  <si>
    <t>ankleClonusLeft</t>
  </si>
  <si>
    <t>ankle clonus - left</t>
  </si>
  <si>
    <t>ankle_clonus_left</t>
  </si>
  <si>
    <t>NF5CLNLT</t>
  </si>
  <si>
    <t>plantarReflexRight</t>
  </si>
  <si>
    <t>plantarReflex</t>
  </si>
  <si>
    <t>plantar reflexes - right</t>
  </si>
  <si>
    <t>plantar_reflex_right</t>
  </si>
  <si>
    <t>NF5PLNRT</t>
  </si>
  <si>
    <t>plantarReflexLeft</t>
  </si>
  <si>
    <t>plantar reflexes - left</t>
  </si>
  <si>
    <t>plantar_reflex_left</t>
  </si>
  <si>
    <t>NF5PLNLT</t>
  </si>
  <si>
    <t>axisHeadNeck</t>
  </si>
  <si>
    <t>axis - head and neck</t>
  </si>
  <si>
    <t>axis_head_neck</t>
  </si>
  <si>
    <t>EFAXISHD</t>
  </si>
  <si>
    <t>axisTrunk</t>
  </si>
  <si>
    <t>axis - trunk</t>
  </si>
  <si>
    <t>axis_trunk</t>
  </si>
  <si>
    <t>EFAXTRNK</t>
  </si>
  <si>
    <t>lowerLimbFunction</t>
  </si>
  <si>
    <t>lower limb function-gait</t>
  </si>
  <si>
    <t>lower_limb_function</t>
  </si>
  <si>
    <t>EFLWRLMB</t>
  </si>
  <si>
    <t>upperLimbFunction</t>
  </si>
  <si>
    <t>upper limb function</t>
  </si>
  <si>
    <t>upper_limb_function</t>
  </si>
  <si>
    <t>EFUPRLMB</t>
  </si>
  <si>
    <t>handFunctionRight</t>
  </si>
  <si>
    <t>handFunction</t>
  </si>
  <si>
    <t>hand function - right</t>
  </si>
  <si>
    <t>hand_function_right</t>
  </si>
  <si>
    <t>EFRHAND</t>
  </si>
  <si>
    <t>handFunctionLeft</t>
  </si>
  <si>
    <t>hand function - left</t>
  </si>
  <si>
    <t>hand_function_left</t>
  </si>
  <si>
    <t>EFLHAND</t>
  </si>
  <si>
    <t>neuralNormal</t>
  </si>
  <si>
    <t>normal?</t>
  </si>
  <si>
    <t>neural_normal</t>
  </si>
  <si>
    <t>EFDGNORM</t>
  </si>
  <si>
    <t>generalizedHypotonia</t>
  </si>
  <si>
    <t>generalized hypotonia?</t>
  </si>
  <si>
    <t>generalized_hypotonia</t>
  </si>
  <si>
    <t>EFHYPOT</t>
  </si>
  <si>
    <t>hypertonia</t>
  </si>
  <si>
    <t>hypertonia?</t>
  </si>
  <si>
    <t>EFHYPERT</t>
  </si>
  <si>
    <t>neuralOther</t>
  </si>
  <si>
    <t>neural - other?</t>
  </si>
  <si>
    <t>neural_other</t>
  </si>
  <si>
    <t>EFOTHER</t>
  </si>
  <si>
    <t>neuralOtherText</t>
  </si>
  <si>
    <t>neural - other - specify</t>
  </si>
  <si>
    <t>neural_other_text</t>
  </si>
  <si>
    <t>NF5OCPSP</t>
  </si>
  <si>
    <t>spasticDiplegia</t>
  </si>
  <si>
    <t>spastic diplegia?</t>
  </si>
  <si>
    <t>spastic_diplegia</t>
  </si>
  <si>
    <t>EFDIPLEG</t>
  </si>
  <si>
    <t>spasticHemiplegiaRight</t>
  </si>
  <si>
    <t>spastic hemiplegia - right</t>
  </si>
  <si>
    <t>spastic_hemiplegia_right</t>
  </si>
  <si>
    <t>EFHEMRT</t>
  </si>
  <si>
    <t>spasticHemiplegiaLeft</t>
  </si>
  <si>
    <t>spastic hemiplegia - left</t>
  </si>
  <si>
    <t>spastic_hemiplegia_left</t>
  </si>
  <si>
    <t>EFHEMLT</t>
  </si>
  <si>
    <t>spasticQuadriplegia</t>
  </si>
  <si>
    <t>spastic quadriplegia</t>
  </si>
  <si>
    <t>spastic_quadriplegia</t>
  </si>
  <si>
    <t>EFQUADR</t>
  </si>
  <si>
    <t>spasticTriplegia</t>
  </si>
  <si>
    <t>spastic triplegia</t>
  </si>
  <si>
    <t>spastic_triplegia</t>
  </si>
  <si>
    <t>EFTRIPLE</t>
  </si>
  <si>
    <t>dystonia</t>
  </si>
  <si>
    <t>dystonia?</t>
  </si>
  <si>
    <t>OF5DYSTO</t>
  </si>
  <si>
    <t>athetosis</t>
  </si>
  <si>
    <t>athetosis?</t>
  </si>
  <si>
    <t>OF5ATCHA</t>
  </si>
  <si>
    <t>athetosisDystonia</t>
  </si>
  <si>
    <t>athetosis / dystonia with varying tone</t>
  </si>
  <si>
    <t>athetosis_dystonia</t>
  </si>
  <si>
    <t>EFATHETO</t>
  </si>
  <si>
    <t>hypotoniaAtaxia</t>
  </si>
  <si>
    <t>hypotonia with ataxia</t>
  </si>
  <si>
    <t>hypotonia_ataxia</t>
  </si>
  <si>
    <t>NF5HYPTN</t>
  </si>
  <si>
    <t>OF5ATAXI</t>
  </si>
  <si>
    <t>spasticMonoplegia</t>
  </si>
  <si>
    <t>spastic monoplegia</t>
  </si>
  <si>
    <t>spastic_monoplegia</t>
  </si>
  <si>
    <t>NF5MNPLG</t>
  </si>
  <si>
    <t>mixedCerebralPalsy</t>
  </si>
  <si>
    <t>mixed cerebral palsy</t>
  </si>
  <si>
    <t>mixed_cerebral_palsy</t>
  </si>
  <si>
    <t>NF5MXCP</t>
  </si>
  <si>
    <t>cerebralPalsyUnclassified</t>
  </si>
  <si>
    <t>cerebral palsy - unclassified</t>
  </si>
  <si>
    <t>cerebral_palsy_unclassified</t>
  </si>
  <si>
    <t>NF5CPUN</t>
  </si>
  <si>
    <t>OFCPUN</t>
  </si>
  <si>
    <t>cerebralPalsyUnclassifiedText</t>
  </si>
  <si>
    <t>cerebral palsy - unclassified - describe</t>
  </si>
  <si>
    <t>cerebral_palsy_unclassified_text</t>
  </si>
  <si>
    <t>NF5CPSP</t>
  </si>
  <si>
    <t>OFCPUNDE</t>
  </si>
  <si>
    <t>cerebralPalsy</t>
  </si>
  <si>
    <t>does this child have cerebral palsy?</t>
  </si>
  <si>
    <t>cerebral_palsy</t>
  </si>
  <si>
    <t>EFCERPAL</t>
  </si>
  <si>
    <t>OFCERPAL</t>
  </si>
  <si>
    <t>cerebralPalsyClass</t>
  </si>
  <si>
    <t>classification of cerebral palsy</t>
  </si>
  <si>
    <t>cerebral_palsy_class</t>
  </si>
  <si>
    <t>EFCERGR</t>
  </si>
  <si>
    <t>OFCLPAL</t>
  </si>
  <si>
    <t>abrnomalityAffectingNeuroAssessment</t>
  </si>
  <si>
    <t>congenital and/or acquired abnormalities affecting neurodevelopment assement?</t>
  </si>
  <si>
    <t>abrnomality_affecting_neuro_assessment</t>
  </si>
  <si>
    <t>EFCONGEN</t>
  </si>
  <si>
    <t>abrnomalityAffectingNeuroAssessmentText</t>
  </si>
  <si>
    <t>congenital and/or acquired abnormalities affecting neurodevelopment assement - specify</t>
  </si>
  <si>
    <t>abrnomality_affecting_neuro_assessment_text</t>
  </si>
  <si>
    <t>EFCONGSP</t>
  </si>
  <si>
    <t>examWhere</t>
  </si>
  <si>
    <t>where exam completing</t>
  </si>
  <si>
    <t>exam_where</t>
  </si>
  <si>
    <t>EFPLACE</t>
  </si>
  <si>
    <t>examWhereOtherText</t>
  </si>
  <si>
    <t>where exam completing - other -specify</t>
  </si>
  <si>
    <t>exam_where_other_text</t>
  </si>
  <si>
    <t>NF5LOCSP</t>
  </si>
  <si>
    <t>examQuality</t>
  </si>
  <si>
    <t>quality of the exam</t>
  </si>
  <si>
    <t>exam_quality</t>
  </si>
  <si>
    <t>NF5QUALT</t>
  </si>
  <si>
    <t>examFactorAffecting</t>
  </si>
  <si>
    <t>the factor affecting the exam</t>
  </si>
  <si>
    <t>exam_factor_affecting</t>
  </si>
  <si>
    <t>NF5FACTR</t>
  </si>
  <si>
    <t>examFactorAffectingText</t>
  </si>
  <si>
    <t>the factor affecting the exam - specify</t>
  </si>
  <si>
    <t>exam_factor_affecting_text</t>
  </si>
  <si>
    <t>NF5FACSP</t>
  </si>
  <si>
    <t>examCompleteDate</t>
  </si>
  <si>
    <t>date complete</t>
  </si>
  <si>
    <t>exam_complete_date</t>
  </si>
  <si>
    <t>EFCOMPDT</t>
  </si>
  <si>
    <t>GMFCS</t>
  </si>
  <si>
    <t>grossMotorFunctionLevel</t>
  </si>
  <si>
    <t>gross motor function level</t>
  </si>
  <si>
    <t>gross_motor_function_level</t>
  </si>
  <si>
    <t>NF5GROSS</t>
  </si>
  <si>
    <t>Bayley-III</t>
  </si>
  <si>
    <t>BayleyIIICognitiveSubtest</t>
  </si>
  <si>
    <t>cognitive subtest?</t>
  </si>
  <si>
    <t>bayleyiii_cognitive_subtest</t>
  </si>
  <si>
    <t>NF9ACSU</t>
  </si>
  <si>
    <t>BayleyIIIReasonNoSuccessCognitiveSubtest</t>
  </si>
  <si>
    <t>BayleyIIIReasonNoSuccess</t>
  </si>
  <si>
    <t>reason not success cognitive subtest</t>
  </si>
  <si>
    <t>bayleyiii_reason_no_success_cognitive_subtest</t>
  </si>
  <si>
    <t>NF9ACSUR</t>
  </si>
  <si>
    <t>BayleyIIIReasonNoSuccessCognitiveSubtestText</t>
  </si>
  <si>
    <t>reason not success cognitive subtest - specify</t>
  </si>
  <si>
    <t>bayleyiii_reason_no_success_cognitive_subtest_text</t>
  </si>
  <si>
    <t>NF9ACSUS</t>
  </si>
  <si>
    <t>BayleyIIILanguageReceptiveSubtest</t>
  </si>
  <si>
    <t>language (receptive communication) subtest?</t>
  </si>
  <si>
    <t>bayleyiii_language_receptive_subtest</t>
  </si>
  <si>
    <t>NF9ALRC</t>
  </si>
  <si>
    <t>BayleyIIIReasonNoSuccessLanguageReceptiveSubtest</t>
  </si>
  <si>
    <t>reason not success language (receptive communication) subtest</t>
  </si>
  <si>
    <t>bayleyiii_reason_no_success_language_receptive_subtest</t>
  </si>
  <si>
    <t>NF9ALRCR</t>
  </si>
  <si>
    <t>BayleyIIIReasonNoSuccessLanguageReceptiveSubtestText</t>
  </si>
  <si>
    <t>reason not success language (receptive communication) subtest - specify</t>
  </si>
  <si>
    <t>bayleyiii_reason_no_success_language_receptive_subtest_text</t>
  </si>
  <si>
    <t>NF9ALRCS</t>
  </si>
  <si>
    <t>BayleyIIILanguageExpressiveSubtest</t>
  </si>
  <si>
    <t>language (expressive communication) subtest?</t>
  </si>
  <si>
    <t>bayleyiii_language_expressive_subtest</t>
  </si>
  <si>
    <t>NF9ALEC</t>
  </si>
  <si>
    <t>BayleyIIIReasonNoSuccessLanguageExpressiveSubtest</t>
  </si>
  <si>
    <t>reason not success language (expressive communication) subtest</t>
  </si>
  <si>
    <t>bayleyiii_reason_no_success_language_expressive_subtest</t>
  </si>
  <si>
    <t>NF9ALECR</t>
  </si>
  <si>
    <t>BayleyIIIReasonNoSuccessLanguageExpressiveSubtestText</t>
  </si>
  <si>
    <t>reason not success language (expressive communication) subtest - specify</t>
  </si>
  <si>
    <t>bayleyiii_reason_no_success_language_expressive_subtest_text</t>
  </si>
  <si>
    <t>NF9ALECS</t>
  </si>
  <si>
    <t>BayleyIIIMotorFineSubtest</t>
  </si>
  <si>
    <t>motor (fine) subtest</t>
  </si>
  <si>
    <t>bayleyiii_motor_fine_subtest</t>
  </si>
  <si>
    <t>NF9AMFN</t>
  </si>
  <si>
    <t>BayleyIIIReasonNoSuccessMotorFineSubtest</t>
  </si>
  <si>
    <t>reason not success motor (fine) subtest</t>
  </si>
  <si>
    <t>bayleyiii_reason_no_success_motor_fine_subtest</t>
  </si>
  <si>
    <t>NF9AMFNR</t>
  </si>
  <si>
    <t>BayleyIIIReasonNoSuccessMotorFineSubtestText</t>
  </si>
  <si>
    <t>reason not success motor (fine) subtest - specify</t>
  </si>
  <si>
    <t>bayleyiii_reason_no_success_motor_fine_subtest_text</t>
  </si>
  <si>
    <t>NF9AMFNS</t>
  </si>
  <si>
    <t>BayleyIIIMotorGrossSubtest</t>
  </si>
  <si>
    <t>motor (gross) subtest</t>
  </si>
  <si>
    <t>bayleyiii_motor_gross_subtest</t>
  </si>
  <si>
    <t>NF9AMGR</t>
  </si>
  <si>
    <t>BayleyIIIReasonNoSuccessMotorGrossSubtest</t>
  </si>
  <si>
    <t>reason not success motor (gross) subtest</t>
  </si>
  <si>
    <t>bayleyiii_reason_no_success_motor_gross_subtest</t>
  </si>
  <si>
    <t>NF9AMGRR</t>
  </si>
  <si>
    <t>BayleyIIIReasonNoSuccessMotorGrossSubtestText</t>
  </si>
  <si>
    <t>reason not success motor (gross) subtest - specify</t>
  </si>
  <si>
    <t>bayleyiii_reason_no_success_motor_gross_subtest_text</t>
  </si>
  <si>
    <t>NF9AMGRS</t>
  </si>
  <si>
    <t>BayleyIIIAdjustedAgeForCognitiveTest</t>
  </si>
  <si>
    <t>adjusted age for cognitive test</t>
  </si>
  <si>
    <t>bayleyiii_adjusted_age_for_cognitive_test</t>
  </si>
  <si>
    <t>NF9AAACS</t>
  </si>
  <si>
    <t>BayleyIIIAdjustedAgeForReceptiveCommunication</t>
  </si>
  <si>
    <t>adjusted age for receptive communication</t>
  </si>
  <si>
    <t>bayleyiii_adjusted_age_for_receptive_communication</t>
  </si>
  <si>
    <t>NF9AAARC</t>
  </si>
  <si>
    <t>BayleyIIIAdjustedAgeForExpressiveCommunication</t>
  </si>
  <si>
    <t>adjusted age for expressive communication</t>
  </si>
  <si>
    <t>bayleyiii_adjusted_age_for_expressive_communication</t>
  </si>
  <si>
    <t>NF9AAAEC</t>
  </si>
  <si>
    <t>BayleyIIIAdjustedAgeForMotorFineSubtest</t>
  </si>
  <si>
    <t>adjusted age for motor (fine) subtest</t>
  </si>
  <si>
    <t>bayleyiii_adjusted_age_for_motor_fine_subtest</t>
  </si>
  <si>
    <t>NF9AAAMF</t>
  </si>
  <si>
    <t>BayleyIIIAdjustedAgeForMotorGrossSubtest</t>
  </si>
  <si>
    <t>adjusted age for motor (gross) subtest</t>
  </si>
  <si>
    <t>bayleyiii_adjusted_age_for_motor_gross_subtest</t>
  </si>
  <si>
    <t>NF9AAAMG</t>
  </si>
  <si>
    <t>BayleyIIICognitiveRaw</t>
  </si>
  <si>
    <t>cognitive - raw</t>
  </si>
  <si>
    <t>bayleyiii_cognitive_raw</t>
  </si>
  <si>
    <t>NF9ABSCR</t>
  </si>
  <si>
    <t>BayleyIIICognitiveScale</t>
  </si>
  <si>
    <t>cognitive - scaled score</t>
  </si>
  <si>
    <t>bayleyiii_cognitive_scale</t>
  </si>
  <si>
    <t>NF9ABSCS</t>
  </si>
  <si>
    <t>BayleyIIICognitiveComposite</t>
  </si>
  <si>
    <t>cognitive composite score</t>
  </si>
  <si>
    <t>bayleyiii_cognitive_composite</t>
  </si>
  <si>
    <t>NF9ABSCC</t>
  </si>
  <si>
    <t>BayleyIIIReceptiveRaw</t>
  </si>
  <si>
    <t>receptive - raw</t>
  </si>
  <si>
    <t>bayleyiii_receptive_raw</t>
  </si>
  <si>
    <t>NF9ABSRR</t>
  </si>
  <si>
    <t>BayleyIIIReceptiveScale</t>
  </si>
  <si>
    <t>receptive - scaled score</t>
  </si>
  <si>
    <t>bayleyiii_receptive_scale</t>
  </si>
  <si>
    <t>NF9ABSRS</t>
  </si>
  <si>
    <t>BayleyIIIExpressiveRaw</t>
  </si>
  <si>
    <t>expressive - raw</t>
  </si>
  <si>
    <t>bayleyiii_expressive_raw</t>
  </si>
  <si>
    <t>NF9ABSER</t>
  </si>
  <si>
    <t>BayleyIIIExpressiveScale</t>
  </si>
  <si>
    <t>expressive - scaled score</t>
  </si>
  <si>
    <t>bayleyiii_expressive_scale</t>
  </si>
  <si>
    <t>NF9ABSES</t>
  </si>
  <si>
    <t>BayleyIIISumLanguageScore</t>
  </si>
  <si>
    <t>summed language score</t>
  </si>
  <si>
    <t>bayleyiii_sum_language_score</t>
  </si>
  <si>
    <t>NF9ABSLS</t>
  </si>
  <si>
    <t>BayleyIIILanguageComposite</t>
  </si>
  <si>
    <t>language composite</t>
  </si>
  <si>
    <t>bayleyiii_language_composite</t>
  </si>
  <si>
    <t>NF9ABSLC</t>
  </si>
  <si>
    <t>BayleyIIIMotorFineRaw</t>
  </si>
  <si>
    <t>fine motor - raw</t>
  </si>
  <si>
    <t>bayleyiii_motor_fine_raw</t>
  </si>
  <si>
    <t>NF9AMFRW</t>
  </si>
  <si>
    <t>BayleyIIIMotorFineScale</t>
  </si>
  <si>
    <t>fine motor - scaled score</t>
  </si>
  <si>
    <t>bayleyiii_motor_fine_scale</t>
  </si>
  <si>
    <t>NF9AMFSS</t>
  </si>
  <si>
    <t>BayleyIIIMotorGrossRaw</t>
  </si>
  <si>
    <t>gross motor - raw</t>
  </si>
  <si>
    <t>bayleyiii_motor_gross_raw</t>
  </si>
  <si>
    <t>NF9AMGRW</t>
  </si>
  <si>
    <t>BayleyIIIMotorGrossScale</t>
  </si>
  <si>
    <t>gross motor - scaled score</t>
  </si>
  <si>
    <t>bayleyiii_motor_gross_scale</t>
  </si>
  <si>
    <t>NF9AMGSS</t>
  </si>
  <si>
    <t>BayleyIIISumMotorScore</t>
  </si>
  <si>
    <t>summed motor score</t>
  </si>
  <si>
    <t>bayleyiii_sum_motor_score</t>
  </si>
  <si>
    <t>NF9AMGSM</t>
  </si>
  <si>
    <t>BayleyIIIMotorComposite</t>
  </si>
  <si>
    <t>motor composite</t>
  </si>
  <si>
    <t>bayleyiii_motor_composite</t>
  </si>
  <si>
    <t>NF9AMCMP</t>
  </si>
  <si>
    <t>BayleyIIIInEnglish</t>
  </si>
  <si>
    <t>was the Bayley exam conducted in English?</t>
  </si>
  <si>
    <t>bayleyiii_in_english</t>
  </si>
  <si>
    <t>NF9ABSEN</t>
  </si>
  <si>
    <t>BayleyIIIRequireInterpreter</t>
  </si>
  <si>
    <t>was an interpreter required?</t>
  </si>
  <si>
    <t>bayley_iii_require_interpreter</t>
  </si>
  <si>
    <t>NF9ABSIN</t>
  </si>
  <si>
    <t>BayleyIIIAdministratorMaskedToChildHistory</t>
  </si>
  <si>
    <t>was the Bayley administrator masked to the child's medical history?</t>
  </si>
  <si>
    <t>bayley_iii_administrator_masked_to_child_history</t>
  </si>
  <si>
    <t>NF9ABSMK</t>
  </si>
  <si>
    <t>BayleyIIIWhere</t>
  </si>
  <si>
    <t>where</t>
  </si>
  <si>
    <t>bayleyiii_where</t>
  </si>
  <si>
    <t>NF9AWEC</t>
  </si>
  <si>
    <t>BayleyIIIDate</t>
  </si>
  <si>
    <t>bayleyiii_date</t>
  </si>
  <si>
    <t>NF9ADATE</t>
  </si>
  <si>
    <t>Readmission</t>
  </si>
  <si>
    <t>date of discharge</t>
  </si>
  <si>
    <t>DFDISDT</t>
  </si>
  <si>
    <t>birthdate</t>
  </si>
  <si>
    <t>date of first birthday</t>
  </si>
  <si>
    <t>DFBRDYDT</t>
  </si>
  <si>
    <t>readmissionNumber</t>
  </si>
  <si>
    <t>readmission number</t>
  </si>
  <si>
    <t>readmission_number</t>
  </si>
  <si>
    <t>DFREADNM</t>
  </si>
  <si>
    <t>readmissionTimePeriod</t>
  </si>
  <si>
    <t>time period</t>
  </si>
  <si>
    <t>readmission_time_period</t>
  </si>
  <si>
    <t>DFTIMEA</t>
  </si>
  <si>
    <t>readmissionPrimaryCause</t>
  </si>
  <si>
    <t>primary cause</t>
  </si>
  <si>
    <t>readmission_primary_cause</t>
  </si>
  <si>
    <t>DFCAUSE</t>
  </si>
  <si>
    <t>readmissionPrimaryCauseOtherText</t>
  </si>
  <si>
    <t>primary cause: other - specify</t>
  </si>
  <si>
    <t>readmission_primary_cause_other_text</t>
  </si>
  <si>
    <t>NF4AROTS</t>
  </si>
  <si>
    <t>readmissionLengthOfStay</t>
  </si>
  <si>
    <t>length of hospital stay</t>
  </si>
  <si>
    <t>readmission_length_of_stay</t>
  </si>
  <si>
    <t>OFLENOHS</t>
  </si>
  <si>
    <t>readmissionICU</t>
  </si>
  <si>
    <t>spend any time in ICU?</t>
  </si>
  <si>
    <t>readmission_icu</t>
  </si>
  <si>
    <t>OFTIMICU</t>
  </si>
  <si>
    <t>readmissionInterviewWhere</t>
  </si>
  <si>
    <t>form completion - where was interview conducted</t>
  </si>
  <si>
    <t>readmission_interview_where</t>
  </si>
  <si>
    <t>DFPLACEA</t>
  </si>
  <si>
    <t>readmissionDateObtain</t>
  </si>
  <si>
    <t>form completion - date readmission information obtained</t>
  </si>
  <si>
    <t>readmission_date_obtain</t>
  </si>
  <si>
    <t>DFCMPDTA</t>
  </si>
  <si>
    <t>statusVisitDate</t>
  </si>
  <si>
    <t>status_visit_date</t>
  </si>
  <si>
    <t>NF10VSDT</t>
  </si>
  <si>
    <t>statusBirthDate</t>
  </si>
  <si>
    <t>status_birth_date</t>
  </si>
  <si>
    <t>JFBRTDT</t>
  </si>
  <si>
    <t>childFinalStatus</t>
  </si>
  <si>
    <t>followupStatus</t>
  </si>
  <si>
    <t>final status of the child</t>
  </si>
  <si>
    <t>child_final_status</t>
  </si>
  <si>
    <t>JFSTATUS</t>
  </si>
  <si>
    <t>JFDTHDT</t>
  </si>
  <si>
    <t>OFCAUSOD</t>
  </si>
  <si>
    <t>reasonLossFollowUp</t>
  </si>
  <si>
    <t>loss to follow-up: reason</t>
  </si>
  <si>
    <t>reason_loss_follow_up</t>
  </si>
  <si>
    <t>JFREASN</t>
  </si>
  <si>
    <t>firstVisitDate</t>
  </si>
  <si>
    <t>date of first visit</t>
  </si>
  <si>
    <t>first_visit_date</t>
  </si>
  <si>
    <t>KFFSTDT</t>
  </si>
  <si>
    <t>finalVisitDate</t>
  </si>
  <si>
    <t>date of final visit</t>
  </si>
  <si>
    <t>final_visit_date</t>
  </si>
  <si>
    <t>KFSECDT</t>
  </si>
  <si>
    <t>final outcome log</t>
  </si>
  <si>
    <t>KFSESDIS</t>
  </si>
  <si>
    <t>SES at 18+4 mo?</t>
  </si>
  <si>
    <t>KFSES18</t>
  </si>
  <si>
    <t>medical history form?</t>
  </si>
  <si>
    <t>KFMEDHIS</t>
  </si>
  <si>
    <t>readmission form?</t>
  </si>
  <si>
    <t>KFREADM</t>
  </si>
  <si>
    <t>child exam form?</t>
  </si>
  <si>
    <t>KFINFEXM</t>
  </si>
  <si>
    <t>Bayley III score form?</t>
  </si>
  <si>
    <t>KFBAYLE3</t>
  </si>
  <si>
    <t>status form?</t>
  </si>
  <si>
    <t>KFSTATFM</t>
  </si>
  <si>
    <t>lost-to-follow-up questionnaire?</t>
  </si>
  <si>
    <t>KFLOSTFM</t>
  </si>
  <si>
    <t>Lost Followup</t>
  </si>
  <si>
    <t>lostFollowUpInformationAvailableIndirectSrc</t>
  </si>
  <si>
    <t>is information available for this child from indirect source?</t>
  </si>
  <si>
    <t>lost_follow_up_information_available_indirect_src</t>
  </si>
  <si>
    <t>LFOSOURC</t>
  </si>
  <si>
    <t>lostFollowUpLastContactDate</t>
  </si>
  <si>
    <t>date of last contact</t>
  </si>
  <si>
    <t>lost_follow_up_last_contact_date</t>
  </si>
  <si>
    <t>LFCONTDT</t>
  </si>
  <si>
    <t>lostFollowUpFormCompleteDate</t>
  </si>
  <si>
    <t>date of form completed</t>
  </si>
  <si>
    <t>lost_follow_up_form_complete_date</t>
  </si>
  <si>
    <t>LFCOMPDT</t>
  </si>
  <si>
    <t>lostFollowUpChildAlive</t>
  </si>
  <si>
    <t>is child alive?</t>
  </si>
  <si>
    <t>lost_follow_up_child_alive</t>
  </si>
  <si>
    <t>LFALIVE</t>
  </si>
  <si>
    <t>lostFollowUpLastKnownAliveCorrectedAge_mo</t>
  </si>
  <si>
    <t>yes - corrected age last known to be alive</t>
  </si>
  <si>
    <t>lost_follow_up_last_known_alive_corrected_age_mo</t>
  </si>
  <si>
    <t>LFADJAGE</t>
  </si>
  <si>
    <t>lostFollowUpDeathDate</t>
  </si>
  <si>
    <t>no - date of death</t>
  </si>
  <si>
    <t>lost_follow_up_death_date</t>
  </si>
  <si>
    <t>LFDTHDT</t>
  </si>
  <si>
    <t>lostFollowUpInterview</t>
  </si>
  <si>
    <t>caretaker interview</t>
  </si>
  <si>
    <t>lost_follow_up_interview</t>
  </si>
  <si>
    <t>LFINTERV</t>
  </si>
  <si>
    <t>lostFollowUpInterviewDate</t>
  </si>
  <si>
    <t>date of interview</t>
  </si>
  <si>
    <t>lost_follow_up_interview_date</t>
  </si>
  <si>
    <t>LFINTDT</t>
  </si>
  <si>
    <t>lostFollowUpInterviewCorrectedAge_mo</t>
  </si>
  <si>
    <t>corrected age of the child at the time of interview</t>
  </si>
  <si>
    <t>lost_follow_up_interview_corrected_age_mo</t>
  </si>
  <si>
    <t>LFINTAGE</t>
  </si>
  <si>
    <t>lostFollowUpAnyQuestionCompleteChartReview</t>
  </si>
  <si>
    <t>were any question completed from chart review?</t>
  </si>
  <si>
    <t>lost_follow_up_any_question_complete_chart_review</t>
  </si>
  <si>
    <t>LFCHART2</t>
  </si>
  <si>
    <t>lostFollowUpChartReviewDate</t>
  </si>
  <si>
    <t>date of chart review</t>
  </si>
  <si>
    <t>lost_follow_up_chart_review_date</t>
  </si>
  <si>
    <t>LFCHARDT</t>
  </si>
  <si>
    <t>lostFollowUpChartReviewCorrectedAge_mo</t>
  </si>
  <si>
    <t>corrected age of the child at the time of chart review</t>
  </si>
  <si>
    <t>lost_follow_up_chart_review_corrected_age_mo</t>
  </si>
  <si>
    <t>LFCHARAG</t>
  </si>
  <si>
    <t>interviewChildHealth</t>
  </si>
  <si>
    <t>childHealth</t>
  </si>
  <si>
    <t>child's health</t>
  </si>
  <si>
    <t>interview_child_health</t>
  </si>
  <si>
    <t>LFHEALTH</t>
  </si>
  <si>
    <t>interviewWalkAlone</t>
  </si>
  <si>
    <t>walking alone?</t>
  </si>
  <si>
    <t>interview_walk_alone</t>
  </si>
  <si>
    <t>LFWALK</t>
  </si>
  <si>
    <t>interviewWalkAloneAge_mo</t>
  </si>
  <si>
    <t>what age did child start walking independently?</t>
  </si>
  <si>
    <t>interview_walk_alone_age_mo</t>
  </si>
  <si>
    <t>LFWKAGE</t>
  </si>
  <si>
    <t>interviewSittingAlong</t>
  </si>
  <si>
    <t>sitting along without support?</t>
  </si>
  <si>
    <t>interview_sitting_along</t>
  </si>
  <si>
    <t>LFSITTIN</t>
  </si>
  <si>
    <t>interviewHeadControl</t>
  </si>
  <si>
    <t>have head control?</t>
  </si>
  <si>
    <t>interview_head_control</t>
  </si>
  <si>
    <t>LFHEAD</t>
  </si>
  <si>
    <t>interviewSee</t>
  </si>
  <si>
    <t>see?</t>
  </si>
  <si>
    <t>interview_see</t>
  </si>
  <si>
    <t>LFSEE</t>
  </si>
  <si>
    <t>interviewEyeExam</t>
  </si>
  <si>
    <t>had an eye exam since initial discharge?</t>
  </si>
  <si>
    <t>interview_eye_exam</t>
  </si>
  <si>
    <t>LFEYEQ</t>
  </si>
  <si>
    <t>interviewNeedWearGlasses</t>
  </si>
  <si>
    <t>need or wear glasses?</t>
  </si>
  <si>
    <t>interview_need_wear_glasses</t>
  </si>
  <si>
    <t>NF12GLAS</t>
  </si>
  <si>
    <t>interviewHear</t>
  </si>
  <si>
    <t>hear?</t>
  </si>
  <si>
    <t>interview_hear</t>
  </si>
  <si>
    <t>LFHEAR</t>
  </si>
  <si>
    <t>interviewHearExam</t>
  </si>
  <si>
    <t>had a hear exam since initial discharge?</t>
  </si>
  <si>
    <t>interview_hear_exam</t>
  </si>
  <si>
    <t>LFHEARQ</t>
  </si>
  <si>
    <t>interviewNeedWearHearingAid</t>
  </si>
  <si>
    <t>need or wear a hearing aid(s)?</t>
  </si>
  <si>
    <t>interview_need_wear_hearing_aid</t>
  </si>
  <si>
    <t>LFHEAIDQ</t>
  </si>
  <si>
    <t>interviewNumberWordVocabulary</t>
  </si>
  <si>
    <t>estimate number of words in child's vocabulary</t>
  </si>
  <si>
    <t>interview_number_word_vocabulary</t>
  </si>
  <si>
    <t>NF12NMWD</t>
  </si>
  <si>
    <t>interviewCombine2Words</t>
  </si>
  <si>
    <t>combine 2 words?</t>
  </si>
  <si>
    <t>interview_combine2words</t>
  </si>
  <si>
    <t>NF12C2WD</t>
  </si>
  <si>
    <t>interviewCombine3Words</t>
  </si>
  <si>
    <t>combine 3 words?</t>
  </si>
  <si>
    <t>interview_combine3words</t>
  </si>
  <si>
    <t>NF12C3WD</t>
  </si>
  <si>
    <t>interviewHydrocephalusShunt</t>
  </si>
  <si>
    <t>hydrocephalus treated with a shunt?</t>
  </si>
  <si>
    <t>interview_hydrocephalus_shunt</t>
  </si>
  <si>
    <t>LFHYDROQ</t>
  </si>
  <si>
    <t>interviewCerebralPalsy</t>
  </si>
  <si>
    <t>cerebral palsy?</t>
  </si>
  <si>
    <t>interview_cerebral_palsy</t>
  </si>
  <si>
    <t>LFCPQ</t>
  </si>
  <si>
    <t>interviewDevelopmentalDelay</t>
  </si>
  <si>
    <t>developmental delay?</t>
  </si>
  <si>
    <t>interview_developmental_delay</t>
  </si>
  <si>
    <t>LFDEVDQ</t>
  </si>
  <si>
    <t>interviewLanguageDelay</t>
  </si>
  <si>
    <t>language delay?</t>
  </si>
  <si>
    <t>interview_language_delay</t>
  </si>
  <si>
    <t>LFLANDQ</t>
  </si>
  <si>
    <t>interviewPoorWeightGain</t>
  </si>
  <si>
    <t>poor weight gain?</t>
  </si>
  <si>
    <t>interview_poor_weight_gain</t>
  </si>
  <si>
    <t>LFWEIGHQ</t>
  </si>
  <si>
    <t>interviewSeizure</t>
  </si>
  <si>
    <t>seizures since discharge?</t>
  </si>
  <si>
    <t>interview_seizure</t>
  </si>
  <si>
    <t>LFSEIZUQ</t>
  </si>
  <si>
    <t>interviewBlindness</t>
  </si>
  <si>
    <t>blindness?</t>
  </si>
  <si>
    <t>interview_blindness</t>
  </si>
  <si>
    <t>LFBLINDQ</t>
  </si>
  <si>
    <t>interviewOtherBehaviorProblem</t>
  </si>
  <si>
    <t>other behavior problems?</t>
  </si>
  <si>
    <t>interview_other_behavior_problem</t>
  </si>
  <si>
    <t>NF12BHPB</t>
  </si>
  <si>
    <t>interviewOtherBehaviorProblemText</t>
  </si>
  <si>
    <t>other behavior problems - specify</t>
  </si>
  <si>
    <t>interview_other_behavior_problem_text</t>
  </si>
  <si>
    <t>NF12BHDS</t>
  </si>
  <si>
    <t>interviewOtherMajorMedicalProblem</t>
  </si>
  <si>
    <t>other major medical problems?</t>
  </si>
  <si>
    <t>interview_other_major_medical_problem</t>
  </si>
  <si>
    <t>NF12MDPB</t>
  </si>
  <si>
    <t>interviewOtherMajorMedicalProblemText</t>
  </si>
  <si>
    <t>other major medical problems - specify</t>
  </si>
  <si>
    <t>interview_other_major_medical_problem_text</t>
  </si>
  <si>
    <t>NF12MDDS</t>
  </si>
  <si>
    <t>interviewOtherNeuraldevelopmentalProblem</t>
  </si>
  <si>
    <t>other neuraldevelopmental problems?</t>
  </si>
  <si>
    <t>interview_other_neuraldevelopmental_problem</t>
  </si>
  <si>
    <t>NF12NRPB</t>
  </si>
  <si>
    <t>interviewOtherNeuraldevelopmentalProblemText</t>
  </si>
  <si>
    <t>other neuraldevelopmental problems - specify</t>
  </si>
  <si>
    <t>interview_other_neuraldevelopmental_problem_text</t>
  </si>
  <si>
    <t>NF12NRDS</t>
  </si>
  <si>
    <t>interviewMotorGrossFunctionLevel</t>
  </si>
  <si>
    <t>gross motor function level from caretaker interview</t>
  </si>
  <si>
    <t>interview_motor_gross_function_level</t>
  </si>
  <si>
    <t>OF12GMFL</t>
  </si>
  <si>
    <t>chartReviewEyeExam</t>
  </si>
  <si>
    <t>chartReview</t>
  </si>
  <si>
    <t>eye exam since initial discharge?</t>
  </si>
  <si>
    <t>chart_review_eye_exam</t>
  </si>
  <si>
    <t>LFEYEC</t>
  </si>
  <si>
    <t>chartReviewHearingExam</t>
  </si>
  <si>
    <t>hearing exam since initial discharge?</t>
  </si>
  <si>
    <t>chart_review_hearing_exam</t>
  </si>
  <si>
    <t>LFHEARC</t>
  </si>
  <si>
    <t>chartReviewNeedWearHearingAid</t>
  </si>
  <si>
    <t>chart_review_need_wear_hearing_aid</t>
  </si>
  <si>
    <t>LFHEAIDC</t>
  </si>
  <si>
    <t>chartReviewHydrocephalusShunt</t>
  </si>
  <si>
    <t>chart_review_hydrocephalus_shunt</t>
  </si>
  <si>
    <t>LFHYDROC</t>
  </si>
  <si>
    <t>chartReviewCerebralPalsy</t>
  </si>
  <si>
    <t>chart_review_cerebral_palsy</t>
  </si>
  <si>
    <t>LFCPC</t>
  </si>
  <si>
    <t>chartReviewDevelopmentalDelay</t>
  </si>
  <si>
    <t>chart_review_developmental_delay</t>
  </si>
  <si>
    <t>LFDEVDEC</t>
  </si>
  <si>
    <t>chartReviewLanguageDelay</t>
  </si>
  <si>
    <t>chart_review_language_delay</t>
  </si>
  <si>
    <t>LFLANDEC</t>
  </si>
  <si>
    <t>chartReviewPoorWeightGain</t>
  </si>
  <si>
    <t>chart_review_poor_weight_gain</t>
  </si>
  <si>
    <t>LFWEIGHC</t>
  </si>
  <si>
    <t>chartReviewSeizure</t>
  </si>
  <si>
    <t>chart_review_seizure</t>
  </si>
  <si>
    <t>LFSEIZUC</t>
  </si>
  <si>
    <t>chartReviewBlindness</t>
  </si>
  <si>
    <t>chart_review_blindness</t>
  </si>
  <si>
    <t>NF12BLND</t>
  </si>
  <si>
    <t>chartReviewOtherBehaviorProblem</t>
  </si>
  <si>
    <t>chart_review_other_behavior_problem</t>
  </si>
  <si>
    <t>NF12CHBH</t>
  </si>
  <si>
    <t>chartReviewOtherBehaviorProblemText</t>
  </si>
  <si>
    <t>chart_review_other_behavior_problem_text</t>
  </si>
  <si>
    <t>NF12CHBD</t>
  </si>
  <si>
    <t>chartReviewOtherMajorMedicalProblem</t>
  </si>
  <si>
    <t>chart_review_other_major_medical_problem</t>
  </si>
  <si>
    <t>NF12CHMM</t>
  </si>
  <si>
    <t>chartReviewOtherMajorMedicalProblemText</t>
  </si>
  <si>
    <t>chart_review_other_major_medical_problem_text</t>
  </si>
  <si>
    <t>NF12CHMD</t>
  </si>
  <si>
    <t>chartReviewOtherNeuraldevelopmentalProblem</t>
  </si>
  <si>
    <t>chart_review_other_neuraldevelopmental_problem</t>
  </si>
  <si>
    <t>NF12CHNR</t>
  </si>
  <si>
    <t>chartReviewOtherNeuraldevelopmentalProblemText</t>
  </si>
  <si>
    <t>chart_review_other_neuraldevelopmental_problem_text</t>
  </si>
  <si>
    <t>NF12CHND</t>
  </si>
  <si>
    <t>chartReviewMotorGrossFunctionLevel</t>
  </si>
  <si>
    <t>gross motor function level from chart review</t>
  </si>
  <si>
    <t>chart_review_motor_gross_function_level</t>
  </si>
  <si>
    <t>OF12CHGM</t>
  </si>
  <si>
    <t>Derived Data</t>
  </si>
  <si>
    <t>fcenter</t>
  </si>
  <si>
    <t>ocfolnum</t>
  </si>
  <si>
    <t>Secondary</t>
  </si>
  <si>
    <t>acidosis</t>
  </si>
  <si>
    <t>Cord (or 1st postnatal) blood gas &lt;= 7</t>
  </si>
  <si>
    <t>ageDeath_day</t>
  </si>
  <si>
    <t>Age at death (days)</t>
  </si>
  <si>
    <t>age_death_day</t>
  </si>
  <si>
    <t>age_death</t>
  </si>
  <si>
    <t>ageRand_hr</t>
  </si>
  <si>
    <t>Age at randomization (hours)</t>
  </si>
  <si>
    <t>age_rand_hr</t>
  </si>
  <si>
    <t>age_rand</t>
  </si>
  <si>
    <t>baselineAnticonvulsants</t>
  </si>
  <si>
    <t>Anticonvulsants at baseline</t>
  </si>
  <si>
    <t>baseline_anticonvulsants</t>
  </si>
  <si>
    <t>anticon_0</t>
  </si>
  <si>
    <t>dischargeAnticonvulsants</t>
  </si>
  <si>
    <t>Any anticonvulsants prior to discharge</t>
  </si>
  <si>
    <t>discharge_anticonvulsants</t>
  </si>
  <si>
    <t>any_antic</t>
  </si>
  <si>
    <t>inotropicAgent</t>
  </si>
  <si>
    <t>Any inotropic agents during study</t>
  </si>
  <si>
    <t>inotropic_agent</t>
  </si>
  <si>
    <t>any_inot</t>
  </si>
  <si>
    <t>perinatalSentinelEvent</t>
  </si>
  <si>
    <t>Any perinatal sentinel events</t>
  </si>
  <si>
    <t>perinatal_sentinel_event</t>
  </si>
  <si>
    <t>any_pse</t>
  </si>
  <si>
    <t>Any seizures prior to discharge</t>
  </si>
  <si>
    <t>any_seiz</t>
  </si>
  <si>
    <t>Apgar10minLt5</t>
  </si>
  <si>
    <t>10-minute Apgar score &lt; 5</t>
  </si>
  <si>
    <t>apgar10min_lt5</t>
  </si>
  <si>
    <t>apg10_lt5</t>
  </si>
  <si>
    <t>Apgar10minLte5</t>
  </si>
  <si>
    <t>10-minute Apgar score &lt;= 5</t>
  </si>
  <si>
    <t>apgar10min_lte5</t>
  </si>
  <si>
    <t>apgar10_5</t>
  </si>
  <si>
    <t>Apgar5minLte5</t>
  </si>
  <si>
    <t>5-minute Apgar score &lt;= 5</t>
  </si>
  <si>
    <t>apgar5min_lte5</t>
  </si>
  <si>
    <t>apgar5_5</t>
  </si>
  <si>
    <t>Base deficit (cord or 1st postnatal blood gas)</t>
  </si>
  <si>
    <t>dual_base</t>
  </si>
  <si>
    <t>pH (cord or 1st postnatal blood gas)</t>
  </si>
  <si>
    <t>dual_ph</t>
  </si>
  <si>
    <t>emergencyCSection</t>
  </si>
  <si>
    <t>Emergency c-section</t>
  </si>
  <si>
    <t>emergency_c_section</t>
  </si>
  <si>
    <t>ecsect</t>
  </si>
  <si>
    <t>Level of encephalopathy (fixed)</t>
  </si>
  <si>
    <t>hie_fix</t>
  </si>
  <si>
    <t>inotropicAgentBaseline</t>
  </si>
  <si>
    <t>Inotropic agents at baseline</t>
  </si>
  <si>
    <t>inotropic_agent_baseline</t>
  </si>
  <si>
    <t>inot_0</t>
  </si>
  <si>
    <t>maleSex</t>
  </si>
  <si>
    <t>Male sex</t>
  </si>
  <si>
    <t>male_sex</t>
  </si>
  <si>
    <t>male</t>
  </si>
  <si>
    <t>maternalEducation</t>
  </si>
  <si>
    <t>education2</t>
  </si>
  <si>
    <t>Maternal education: &lt;HS, HS degree, &gt; HS</t>
  </si>
  <si>
    <t>maternal_education</t>
  </si>
  <si>
    <t>mom_ed</t>
  </si>
  <si>
    <t>motherInsurancePublic</t>
  </si>
  <si>
    <t>Mother’s medical insurance Public (Medicaid)</t>
  </si>
  <si>
    <t>mother_insurance_public</t>
  </si>
  <si>
    <t>public</t>
  </si>
  <si>
    <t>race2</t>
  </si>
  <si>
    <t>Mother’s race: Black, White, Other</t>
  </si>
  <si>
    <t>treatmentAssignmentDuration_hr</t>
  </si>
  <si>
    <t>Marginal treatment group: duration</t>
  </si>
  <si>
    <t>treatment_assignment_duration_hr</t>
  </si>
  <si>
    <t>trt_dur</t>
  </si>
  <si>
    <t>treatmentAssignmentTemperature</t>
  </si>
  <si>
    <t>Marginal treatment group: temperature</t>
  </si>
  <si>
    <t>treatment_assignment_temperature</t>
  </si>
  <si>
    <t>trt_temp</t>
  </si>
  <si>
    <t>bloodGasBaseDeficit_mEqPerLSrc</t>
  </si>
  <si>
    <t>bloodGasSrc2</t>
  </si>
  <si>
    <t>Source of base deficit (cord or 1st postnatal blood gas)</t>
  </si>
  <si>
    <t>blood_gas_base_deficit_meqperl_src</t>
  </si>
  <si>
    <t>use_base</t>
  </si>
  <si>
    <t>bloodGasPHSrc</t>
  </si>
  <si>
    <t>Source of pH (cord or 1st postnatal blood gas</t>
  </si>
  <si>
    <t>blood_gas_ph_src</t>
  </si>
  <si>
    <t>use_ph</t>
  </si>
  <si>
    <t>usualCoolingTreatmentGroup</t>
  </si>
  <si>
    <t>Usual cooling treatment group</t>
  </si>
  <si>
    <t>usual_cooling_treatment_group</t>
  </si>
  <si>
    <t>usualc</t>
  </si>
  <si>
    <t>blindness</t>
  </si>
  <si>
    <t>Blindness</t>
  </si>
  <si>
    <t>moderateSevereCerebralPalsy</t>
  </si>
  <si>
    <t>Moderate-severe cerebral palsy</t>
  </si>
  <si>
    <t>moderate_severe_cerebral_palsy</t>
  </si>
  <si>
    <t>modsevcp</t>
  </si>
  <si>
    <t>Cerebral palsy (any)</t>
  </si>
  <si>
    <t>cp_out</t>
  </si>
  <si>
    <t>Gastrostomy or tube feedings</t>
  </si>
  <si>
    <t>gas_tube</t>
  </si>
  <si>
    <t>severity</t>
  </si>
  <si>
    <t>Gross motor function: normal (0-1), moderate (2), severe (3-5)</t>
  </si>
  <si>
    <t>gross</t>
  </si>
  <si>
    <t>hearingImpairedWithAid</t>
  </si>
  <si>
    <t>Hearing impaired with aids</t>
  </si>
  <si>
    <t>hearing_impaired_with_aid</t>
  </si>
  <si>
    <t>hear_imp</t>
  </si>
  <si>
    <t>hearingImpairedLevel</t>
  </si>
  <si>
    <t>Level of hearing impairment: normal, moderate (unimpaired with aids), severe (impaired)</t>
  </si>
  <si>
    <t>hearing_impaired_level</t>
  </si>
  <si>
    <t>multipleImpairment</t>
  </si>
  <si>
    <t>Multiple impairments</t>
  </si>
  <si>
    <t>multiple_impairment</t>
  </si>
  <si>
    <t>mult_imp</t>
  </si>
  <si>
    <t>afterDischargeSeizure</t>
  </si>
  <si>
    <t>Seizures after discharge</t>
  </si>
  <si>
    <t>after_discharge_seizure</t>
  </si>
  <si>
    <t>seiz_fu</t>
  </si>
  <si>
    <t>lengthOfStay_day</t>
  </si>
  <si>
    <t>length_of_stay_day</t>
  </si>
  <si>
    <t>Outcome</t>
  </si>
  <si>
    <t>flagAdjudicatedOutcome</t>
  </si>
  <si>
    <t>Flag for adjudicated outcome(s)</t>
  </si>
  <si>
    <t>flag_adjudicated_outcome</t>
  </si>
  <si>
    <t>adjudicate</t>
  </si>
  <si>
    <t>normalPrimaryOutcome</t>
  </si>
  <si>
    <t>Normal for primary outcome</t>
  </si>
  <si>
    <t>normal_primary_outcome</t>
  </si>
  <si>
    <t>all_norm</t>
  </si>
  <si>
    <t>BayleyIIILanguage</t>
  </si>
  <si>
    <t>Bayley 3 language score: Normal (85+), moderate (70-84), severe (&lt;70)</t>
  </si>
  <si>
    <t>bayleyiii_language</t>
  </si>
  <si>
    <t>b3_lang</t>
  </si>
  <si>
    <t>BayleyIIIMotor</t>
  </si>
  <si>
    <t>Bayley 3 motor score: Normal (85+), moderate (70-84), severe (&lt;70)</t>
  </si>
  <si>
    <t>bayleyiii_motor</t>
  </si>
  <si>
    <t>b3_motor</t>
  </si>
  <si>
    <t>BayleyIIICognitive</t>
  </si>
  <si>
    <t>Bayley 3 cognitive score: Normal (85+), moderate (70-84), severe (&lt;70)</t>
  </si>
  <si>
    <t>bayleyiii_cognitive</t>
  </si>
  <si>
    <t>bayley3</t>
  </si>
  <si>
    <t>deathBeforeFollowup</t>
  </si>
  <si>
    <t>Death before follow-up</t>
  </si>
  <si>
    <t>death_before_followup</t>
  </si>
  <si>
    <t>death18</t>
  </si>
  <si>
    <t>deathBeforeDischarge</t>
  </si>
  <si>
    <t>Death prior to d/c or 6 months</t>
  </si>
  <si>
    <t>death_before_discharge</t>
  </si>
  <si>
    <t>hosp_die</t>
  </si>
  <si>
    <t>disabilityLevelSurvivor</t>
  </si>
  <si>
    <t>Level of disability among survivors</t>
  </si>
  <si>
    <t>disability_level_survivor</t>
  </si>
  <si>
    <t>disab_4</t>
  </si>
  <si>
    <t>disabilityLevel</t>
  </si>
  <si>
    <t>Level of disability (death included in severe)</t>
  </si>
  <si>
    <t>disability_level</t>
  </si>
  <si>
    <t>disab_die4</t>
  </si>
  <si>
    <t>moderateSevereDisabilityOrDeath</t>
  </si>
  <si>
    <t>Moderate-severe disability or death</t>
  </si>
  <si>
    <t>moderate_severe_disability_or_death</t>
  </si>
  <si>
    <t>disab_die</t>
  </si>
  <si>
    <t>moderateSevereDisabilitySurvivor</t>
  </si>
  <si>
    <t>Moderate-severe disability among survivors</t>
  </si>
  <si>
    <t>moderate_severe_disability_survivor</t>
  </si>
  <si>
    <t>disab_ms</t>
  </si>
  <si>
    <t>disabilityLevelDeath</t>
  </si>
  <si>
    <t>Level of disability (death as an independent category)</t>
  </si>
  <si>
    <t>disability_level_death</t>
  </si>
  <si>
    <t>compute from disabilityLevel and deathBeforeFollowup</t>
  </si>
  <si>
    <t>outcomeGroup</t>
  </si>
  <si>
    <t>Outcome group (death or primary outcome)</t>
  </si>
  <si>
    <t>outcome_group</t>
  </si>
  <si>
    <t>out_grp</t>
  </si>
  <si>
    <t>outcome2Year</t>
  </si>
  <si>
    <t>Normal or Adverse (death considered adverse)</t>
  </si>
  <si>
    <t>outcome2year</t>
  </si>
  <si>
    <t>Neuro Exam Derived</t>
  </si>
  <si>
    <t>pre_NeuroExamLevelConsciousnessScore</t>
  </si>
  <si>
    <t>pre_neuro_exam_level_consciousness_score</t>
  </si>
  <si>
    <t>pre_NeuroExamSpontaneousActivityScore</t>
  </si>
  <si>
    <t>pre_neuro_exam_spontaneous_activity_score</t>
  </si>
  <si>
    <t>pre_NeuroExamPostureScore</t>
  </si>
  <si>
    <t>pre_neuro_exam_posture_score</t>
  </si>
  <si>
    <t>pre_NeuroExamToneScore</t>
  </si>
  <si>
    <t>pre_neuro_exam_tone_score</t>
  </si>
  <si>
    <t>pre_NeuroExamSuckScore</t>
  </si>
  <si>
    <t>pre_neuro_exam_suck_score</t>
  </si>
  <si>
    <t>pre_NeuroExamMoroScore</t>
  </si>
  <si>
    <t>pre_neuro_exam_moro_score</t>
  </si>
  <si>
    <t>pre_NeuroExamPupilsScore</t>
  </si>
  <si>
    <t>pre_neuro_exam_pupils_score</t>
  </si>
  <si>
    <t>pre_NeuroExamHeartRateScore</t>
  </si>
  <si>
    <t>pre_neuro_exam_heart_rate_score</t>
  </si>
  <si>
    <t>pre_NeuroExamRespirationScore</t>
  </si>
  <si>
    <t>pre_neuro_exam_respiration_score</t>
  </si>
  <si>
    <t>pre_NeuroExamReflexScore</t>
  </si>
  <si>
    <t>pre_neuro_exam_reflex_score</t>
  </si>
  <si>
    <t>pre_NeuroExamANSScore</t>
  </si>
  <si>
    <t>pre_neuro_exam_ans_score</t>
  </si>
  <si>
    <t>pre_TotalModifiedSarnatScore</t>
  </si>
  <si>
    <t>total modified Sarnat scores of neuro exam in pre-intervention</t>
  </si>
  <si>
    <t>pre_total_modified_sarnat_score</t>
  </si>
  <si>
    <t>post_NeuroExamLevelConsciousnessScore</t>
  </si>
  <si>
    <t>post_neuro_exam_level_consciousness_score</t>
  </si>
  <si>
    <t>post_NeuroExamSpontaneousActivityScore</t>
  </si>
  <si>
    <t>post_neuro_exam_spontaneous_activity_score</t>
  </si>
  <si>
    <t>post_NeuroExamPostureScore</t>
  </si>
  <si>
    <t>post_neuro_exam_posture_score</t>
  </si>
  <si>
    <t>post_NeuroExamToneScore</t>
  </si>
  <si>
    <t>post_neuro_exam_tone_score</t>
  </si>
  <si>
    <t>post_NeuroExamSuckScore</t>
  </si>
  <si>
    <t>post_neuro_exam_suck_score</t>
  </si>
  <si>
    <t>post_NeuroExamMoroScore</t>
  </si>
  <si>
    <t>post_neuro_exam_moro_score</t>
  </si>
  <si>
    <t>post_NeuroExamPupilsScore</t>
  </si>
  <si>
    <t>post_neuro_exam_pupils_score</t>
  </si>
  <si>
    <t>post_NeuroExamHeartRateScore</t>
  </si>
  <si>
    <t>post_neuro_exam_heart_rate_score</t>
  </si>
  <si>
    <t>post_NeuroExamRespirationScore</t>
  </si>
  <si>
    <t>post_neuro_exam_respiration_score</t>
  </si>
  <si>
    <t>post_NeuroExamReflexScore</t>
  </si>
  <si>
    <t>post_neuro_exam_reflex_score</t>
  </si>
  <si>
    <t>post_NeuroExamANSScore</t>
  </si>
  <si>
    <t>post_neuro_exam_ans_score</t>
  </si>
  <si>
    <t>post_TotalModifiedSarnatScore</t>
  </si>
  <si>
    <t>total modified Sarnat scores of neuro exam in post-intervention</t>
  </si>
  <si>
    <t>post_total_modified_sarnat_score</t>
  </si>
  <si>
    <t>dischargeNeuroExamLevelConsciousnessScore</t>
  </si>
  <si>
    <t>discharge_neuro_exam_level_consciousness_score</t>
  </si>
  <si>
    <t>dischargeNeuroExamSpontaneousActivityScore</t>
  </si>
  <si>
    <t>discharge_neuro_exam_spontaneous_activity_score</t>
  </si>
  <si>
    <t>dischargeNeuroExamPostureScore</t>
  </si>
  <si>
    <t>discharge_neuro_exam_posture_score</t>
  </si>
  <si>
    <t>dischargeNeuroExamToneScore</t>
  </si>
  <si>
    <t>discharge_neuro_exam_tone_score</t>
  </si>
  <si>
    <t>dischargeNeuroExamSuckScore</t>
  </si>
  <si>
    <t>discharge_neuro_exam_suck_score</t>
  </si>
  <si>
    <t>dischargeNeuroExamMoroScore</t>
  </si>
  <si>
    <t>discharge_neuro_exam_moro_score</t>
  </si>
  <si>
    <t>dischargeNeuroExamPupilsScore</t>
  </si>
  <si>
    <t>discharge_neuro_exam_pupils_score</t>
  </si>
  <si>
    <t>dischargeNeuroExamHeartRateScore</t>
  </si>
  <si>
    <t>discharge_neuro_exam_heart_rate_score</t>
  </si>
  <si>
    <t>dischargeNeuroExamRespirationScore</t>
  </si>
  <si>
    <t>discharge_neuro_exam_respiration_score</t>
  </si>
  <si>
    <t>dischargeNeuroExamReflexScore</t>
  </si>
  <si>
    <t>discharge_neuro_exam_reflex_score</t>
  </si>
  <si>
    <t>dischargeNeuroExamANSScore</t>
  </si>
  <si>
    <t>discharge_neuro_exam_ans_score</t>
  </si>
  <si>
    <t>dischargeTotalModifiedSarnatScore</t>
  </si>
  <si>
    <t>total modified Sarnat scores of neuro exam at discharge chart</t>
  </si>
  <si>
    <t>discharge_total_modified_sarnat_score</t>
  </si>
  <si>
    <t>MRI Derived</t>
  </si>
  <si>
    <t>MRINRNPatternOfInjuryMerge</t>
  </si>
  <si>
    <t>mri_nrn_pattern_of_injury_merge</t>
  </si>
  <si>
    <t>MRINRNPatternOfInjuryAvg</t>
  </si>
  <si>
    <t>mri_nrn_pattern_of_injury_avg</t>
  </si>
  <si>
    <t>MRINRNPatternOfInjuryMax</t>
  </si>
  <si>
    <t>mri_nrn_pattern_of_injury_max</t>
  </si>
  <si>
    <t>MRI2LevelPatternOfInjury</t>
  </si>
  <si>
    <t>Two-level pattern of injury (0-1 vs 2-3)</t>
  </si>
  <si>
    <t>mri2level_pattern_of_injury</t>
  </si>
  <si>
    <t>MRI_PCLASS</t>
  </si>
  <si>
    <t>MRI_2cat</t>
  </si>
  <si>
    <t>MRIAge_day</t>
  </si>
  <si>
    <t>Age at MRI (fixed, days)</t>
  </si>
  <si>
    <t>mri_age_day</t>
  </si>
  <si>
    <t>MRI_AGED</t>
  </si>
  <si>
    <t>use_MRIage</t>
  </si>
  <si>
    <t>Overall diagnosis (MRI)</t>
  </si>
  <si>
    <t>use_od</t>
  </si>
  <si>
    <t>NICHD NRN pattern of injury</t>
  </si>
  <si>
    <t>MRI_PATTERN</t>
  </si>
  <si>
    <t>use_pi</t>
  </si>
  <si>
    <t>MRI_DATE</t>
  </si>
  <si>
    <t>MRI_TIME</t>
  </si>
  <si>
    <t>MRINotDone</t>
  </si>
  <si>
    <t>mri_not_done</t>
  </si>
  <si>
    <t>MRI_NOTDONE</t>
  </si>
  <si>
    <t>MRIUnread</t>
  </si>
  <si>
    <t>mri_unread</t>
  </si>
  <si>
    <t>MRI_UNREAD</t>
  </si>
  <si>
    <t>MRIAnalysis</t>
  </si>
  <si>
    <t>Included in 298 infants for MRI analyses</t>
  </si>
  <si>
    <t>mri_analysis</t>
  </si>
  <si>
    <t>mri_subgrp</t>
  </si>
  <si>
    <t>abnormalMRIResult</t>
  </si>
  <si>
    <t>Abnormal MRI result</t>
  </si>
  <si>
    <t>abnormal_mri_result</t>
  </si>
  <si>
    <t>mri_abn</t>
  </si>
  <si>
    <t>MRINRNPatternOfInjuryWSvsBGTPLIC</t>
  </si>
  <si>
    <t>MRINRNPatternOfInjuryWSvsBGT</t>
  </si>
  <si>
    <t>Pattern of injury: separating WS and BGT/PLIC</t>
  </si>
  <si>
    <t>mri_nrn_pattern_of_injury_w_svs_bgt_plic</t>
  </si>
  <si>
    <t>new_patt</t>
  </si>
  <si>
    <t>cerebralLesion</t>
  </si>
  <si>
    <t>Any cerebral lesions (lobes or other)</t>
  </si>
  <si>
    <t>cerebral_lesion</t>
  </si>
  <si>
    <t>all_cere</t>
  </si>
  <si>
    <t>cerebellarLesion</t>
  </si>
  <si>
    <t>lesion</t>
  </si>
  <si>
    <t>Indicator for cerebellar lesions</t>
  </si>
  <si>
    <t>cerebellar_lesion</t>
  </si>
  <si>
    <t>bel_max</t>
  </si>
  <si>
    <t>basalGangliaLesion</t>
  </si>
  <si>
    <t>Indicator for basal ganglia lesions</t>
  </si>
  <si>
    <t>basal_ganglia_lesion</t>
  </si>
  <si>
    <t>bg_max</t>
  </si>
  <si>
    <t>brainstemLesion</t>
  </si>
  <si>
    <t>Indicator for brainstem lesions</t>
  </si>
  <si>
    <t>brainstem_lesion</t>
  </si>
  <si>
    <t>bs_max</t>
  </si>
  <si>
    <t>corpusCallosumLesion</t>
  </si>
  <si>
    <t>Indicator for corpus callosum lesions</t>
  </si>
  <si>
    <t>corpus_callosum_lesion</t>
  </si>
  <si>
    <t>cc_max</t>
  </si>
  <si>
    <t>cerebralLesionLobe</t>
  </si>
  <si>
    <t>Cerebral lesions (lobes)</t>
  </si>
  <si>
    <t>cerebral_lesion_lobe</t>
  </si>
  <si>
    <t>cereb_any</t>
  </si>
  <si>
    <t>coronaRadiataLesion</t>
  </si>
  <si>
    <t>Indicator for corona radiata lesions</t>
  </si>
  <si>
    <t>corona_radiata_lesion</t>
  </si>
  <si>
    <t>cr_max</t>
  </si>
  <si>
    <t>edema</t>
  </si>
  <si>
    <t>Indicator for any lesions noted as edema</t>
  </si>
  <si>
    <t>extraAxialLesion</t>
  </si>
  <si>
    <t>Indicator for extra-axial lesions</t>
  </si>
  <si>
    <t>extra_axial_lesion</t>
  </si>
  <si>
    <t>ex_max</t>
  </si>
  <si>
    <t>extent</t>
  </si>
  <si>
    <t>Extent (mild, moderate, extensive, h.devastation)</t>
  </si>
  <si>
    <t>extent_num</t>
  </si>
  <si>
    <t>frontalParietalLesion</t>
  </si>
  <si>
    <t>Indicator for frontal-parietal lesions</t>
  </si>
  <si>
    <t>frontal_parietal_lesion</t>
  </si>
  <si>
    <t>fp_max</t>
  </si>
  <si>
    <t>frontalLesion</t>
  </si>
  <si>
    <t>Indicator for frontal lesions</t>
  </si>
  <si>
    <t>frontal_lesion</t>
  </si>
  <si>
    <t>frontal</t>
  </si>
  <si>
    <t>lateralHemisphericDevastation</t>
  </si>
  <si>
    <t>lateral</t>
  </si>
  <si>
    <t>Laterality for hemispheric devastation</t>
  </si>
  <si>
    <t>lateral_hemispheric_devastation</t>
  </si>
  <si>
    <t>hemi_lat</t>
  </si>
  <si>
    <t>hippocampusLesion</t>
  </si>
  <si>
    <t>Indicator for hippocampus lesions</t>
  </si>
  <si>
    <t>hippocampus_lesion</t>
  </si>
  <si>
    <t>hip_max</t>
  </si>
  <si>
    <t>hypothalamusLesion</t>
  </si>
  <si>
    <t>Indicator for hypothalamus lesions</t>
  </si>
  <si>
    <t>hypothalamus_lesion</t>
  </si>
  <si>
    <t>hy_max</t>
  </si>
  <si>
    <t>insularLesion</t>
  </si>
  <si>
    <t>Indicator for insular lesions</t>
  </si>
  <si>
    <t>insular_lesion</t>
  </si>
  <si>
    <t>ins_max</t>
  </si>
  <si>
    <t>laterality</t>
  </si>
  <si>
    <t>Laterality</t>
  </si>
  <si>
    <t>lateral_num</t>
  </si>
  <si>
    <t>BGT</t>
  </si>
  <si>
    <t>BGT classification</t>
  </si>
  <si>
    <t>bgt</t>
  </si>
  <si>
    <t>new_bgt</t>
  </si>
  <si>
    <t>PLIC</t>
  </si>
  <si>
    <t>PLIC classification</t>
  </si>
  <si>
    <t>plic</t>
  </si>
  <si>
    <t>new_plic</t>
  </si>
  <si>
    <t>watershed</t>
  </si>
  <si>
    <t>Watershed area classification</t>
  </si>
  <si>
    <t>new_water</t>
  </si>
  <si>
    <t>whiteMatterInjury</t>
  </si>
  <si>
    <t>White matter injury classification</t>
  </si>
  <si>
    <t>white_matter_injury</t>
  </si>
  <si>
    <t>new_wmi</t>
  </si>
  <si>
    <t>occipitalLesion</t>
  </si>
  <si>
    <t>Indicator for occipital lesions</t>
  </si>
  <si>
    <t>occipital_lesion</t>
  </si>
  <si>
    <t>occip</t>
  </si>
  <si>
    <t>opticChiasmLesion</t>
  </si>
  <si>
    <t>Indicator for optic chiasm lesions</t>
  </si>
  <si>
    <t>optic_chiasm_lesion</t>
  </si>
  <si>
    <t>op_max</t>
  </si>
  <si>
    <t>otherLesion</t>
  </si>
  <si>
    <t>Indicator for other lesions</t>
  </si>
  <si>
    <t>other_lesion</t>
  </si>
  <si>
    <t>oth_max</t>
  </si>
  <si>
    <t>otherCerebralLesion</t>
  </si>
  <si>
    <t>Other cerebral lesions</t>
  </si>
  <si>
    <t>other_cerebral_lesion</t>
  </si>
  <si>
    <t>other_cere</t>
  </si>
  <si>
    <t>parasagittalLesion</t>
  </si>
  <si>
    <t>Indicator for parasagittal lesions</t>
  </si>
  <si>
    <t>parasagittal_lesion</t>
  </si>
  <si>
    <t>para_max</t>
  </si>
  <si>
    <t>parietalLesion</t>
  </si>
  <si>
    <t>Indicator for parietal lesions</t>
  </si>
  <si>
    <t>parietal_lesion</t>
  </si>
  <si>
    <t>pariet</t>
  </si>
  <si>
    <t>preirolandicLesion</t>
  </si>
  <si>
    <t>Indicator for perirolandic lesions</t>
  </si>
  <si>
    <t>preirolandic_lesion</t>
  </si>
  <si>
    <t>per_max</t>
  </si>
  <si>
    <t>perisylvianLesion</t>
  </si>
  <si>
    <t>Indicator for perisylvian lesions</t>
  </si>
  <si>
    <t>perisylvian_lesion</t>
  </si>
  <si>
    <t>peri_max</t>
  </si>
  <si>
    <t>pituitaryLesion</t>
  </si>
  <si>
    <t>Indicator for pituitary lesions</t>
  </si>
  <si>
    <t>pituitary_lesion</t>
  </si>
  <si>
    <t>pit_max</t>
  </si>
  <si>
    <t>parietalOccipitalLesion</t>
  </si>
  <si>
    <t>Indicator for parietal-occipital lesions</t>
  </si>
  <si>
    <t>parietal_occipital_lesion</t>
  </si>
  <si>
    <t>po_max</t>
  </si>
  <si>
    <t>parietalTemporalLesion</t>
  </si>
  <si>
    <t>Indicator for parietal-temporal lesions</t>
  </si>
  <si>
    <t>parietal_temporal_lesion</t>
  </si>
  <si>
    <t>pt_max</t>
  </si>
  <si>
    <t>scalpLesion</t>
  </si>
  <si>
    <t>Indicator for scalp lesions</t>
  </si>
  <si>
    <t>scalp_lesion</t>
  </si>
  <si>
    <t>s_max</t>
  </si>
  <si>
    <t>thalamusLesion</t>
  </si>
  <si>
    <t>Indicator for thalamus lesions</t>
  </si>
  <si>
    <t>thalamus_lesion</t>
  </si>
  <si>
    <t>t_max</t>
  </si>
  <si>
    <t>temporalLesion</t>
  </si>
  <si>
    <t>Indicator for temporal lesions</t>
  </si>
  <si>
    <t>temporal_lesion</t>
  </si>
  <si>
    <t>tempo</t>
  </si>
  <si>
    <t>temporalOccipitalLesion</t>
  </si>
  <si>
    <t>Indicator for temporal-occipital lesion</t>
  </si>
  <si>
    <t>temporal_occipital_lesion</t>
  </si>
  <si>
    <t>to_max</t>
  </si>
  <si>
    <t>cerebralAtrophy</t>
  </si>
  <si>
    <t>Cerebral atrophy</t>
  </si>
  <si>
    <t>cerebral_atrophy</t>
  </si>
  <si>
    <t>use_atrophy</t>
  </si>
  <si>
    <t>cererbalAtrophyQualAssessCC</t>
  </si>
  <si>
    <t>Qualitative assessment of CC thinning</t>
  </si>
  <si>
    <t>cererbal_atrophy_qual_assess_cc</t>
  </si>
  <si>
    <t>use_ccthin</t>
  </si>
  <si>
    <t>cerebralAtrophyGlobalLocal</t>
  </si>
  <si>
    <t>If cerebral atrophy: globalized(1) or local(2)</t>
  </si>
  <si>
    <t>cerebral_atrophy_global_local</t>
  </si>
  <si>
    <t>use_global</t>
  </si>
  <si>
    <t>vascularTerritoryInfarction</t>
  </si>
  <si>
    <t>Vascular territory infarction</t>
  </si>
  <si>
    <t>vascular_territory_infarction</t>
  </si>
  <si>
    <t>use_infarc</t>
  </si>
  <si>
    <t>vascularTerritoryInfarctionLeft</t>
  </si>
  <si>
    <t>vascular_territory_infarction_left</t>
  </si>
  <si>
    <t>MRI_INFARL</t>
  </si>
  <si>
    <t>vascularTerritoryInfarctionRight</t>
  </si>
  <si>
    <t>vascular_territory_infarction_right</t>
  </si>
  <si>
    <t>MRI_INFARR</t>
  </si>
  <si>
    <t>hemisphericDevastation</t>
  </si>
  <si>
    <t>Hemispheric devastation</t>
  </si>
  <si>
    <t>hemispheric_devastation</t>
  </si>
  <si>
    <t>use_hemi</t>
  </si>
  <si>
    <t>ventricularDilatation</t>
  </si>
  <si>
    <t>Ventricular dilatation</t>
  </si>
  <si>
    <t>ventricular_dilatation</t>
  </si>
  <si>
    <t>use_vd</t>
  </si>
  <si>
    <t>vascularLesion</t>
  </si>
  <si>
    <t>Indicator for vascular lesions</t>
  </si>
  <si>
    <t>vascular_lesion</t>
  </si>
  <si>
    <t>vas_max</t>
  </si>
  <si>
    <t>intraventricularLesion</t>
  </si>
  <si>
    <t>Indicator for intraventricular lesions</t>
  </si>
  <si>
    <t>intraventricular_lesion</t>
  </si>
  <si>
    <t>vent_max</t>
  </si>
  <si>
    <t>no.</t>
  </si>
  <si>
    <t>symbol</t>
  </si>
  <si>
    <t>rule</t>
  </si>
  <si>
    <t>decision</t>
  </si>
  <si>
    <t>example</t>
  </si>
  <si>
    <t>variable</t>
  </si>
  <si>
    <t>camelCase</t>
  </si>
  <si>
    <t>boolean</t>
  </si>
  <si>
    <t>use "type" to determine, no prefix/postfix unless necessary.</t>
  </si>
  <si>
    <t>wasSeizure/isSeizure</t>
  </si>
  <si>
    <t>around 60% of columns are boolean, 20% of columns are numbers, 20% of columns are string, allow unknown, NA, suspected, permanent missing, temporary missing, missing</t>
  </si>
  <si>
    <t>text and number</t>
  </si>
  <si>
    <t>No postfix for variable name containing:
number
date
time
comment
reason
status
assignment
specify/specific
circumference
weight
age
length
score
Apgar
desc
Otherwise, Text as postfix</t>
  </si>
  <si>
    <t>&lt;, &lt;=, &gt;, &gt;=</t>
  </si>
  <si>
    <t>use less / lessEq / greater / greaterEq for targeting main value</t>
  </si>
  <si>
    <t>postnatalAgeBelow6HourOrAbove24Hour</t>
  </si>
  <si>
    <t>use under / over for secondary duration (typical duration: with "for" prefix)</t>
  </si>
  <si>
    <t>wasCoreTempBelow32p5Over2Hours</t>
  </si>
  <si>
    <t>floating point number</t>
  </si>
  <si>
    <t>p</t>
  </si>
  <si>
    <t>plural</t>
  </si>
  <si>
    <t>remove plural unless necessary</t>
  </si>
  <si>
    <t>remove plural unless necessary
(pupils)</t>
  </si>
  <si>
    <t>"the"</t>
  </si>
  <si>
    <t>remove "the" unless necessary</t>
  </si>
  <si>
    <t>"of"</t>
  </si>
  <si>
    <t>remove "of" unless necessary</t>
  </si>
  <si>
    <t>The frequency of "of" is much less than "the"</t>
  </si>
  <si>
    <t>units</t>
  </si>
  <si>
    <t>number needs to be with units, prefer no plural (or with plural), unless necessary to ignore.</t>
  </si>
  <si>
    <t>"hour"</t>
  </si>
  <si>
    <t>use "h"</t>
  </si>
  <si>
    <t>"-"</t>
  </si>
  <si>
    <t>"to", "minus", "-" (depending on the context)</t>
  </si>
  <si>
    <t>name</t>
  </si>
  <si>
    <t>_inv</t>
  </si>
  <si>
    <t>_inv.0</t>
  </si>
  <si>
    <t>normal/mild HIE</t>
  </si>
  <si>
    <t>1</t>
  </si>
  <si>
    <t>0</t>
  </si>
  <si>
    <t>2b</t>
  </si>
  <si>
    <t>hypotonia</t>
  </si>
  <si>
    <t>2</t>
  </si>
  <si>
    <t>2a</t>
  </si>
  <si>
    <t>flaccid</t>
  </si>
  <si>
    <t>3</t>
  </si>
  <si>
    <t>3a</t>
  </si>
  <si>
    <t>rigid</t>
  </si>
  <si>
    <t>3b</t>
  </si>
  <si>
    <t>lethargic</t>
  </si>
  <si>
    <t>stupor/coma</t>
  </si>
  <si>
    <t>distal flexion, complete extension</t>
  </si>
  <si>
    <t>decerebrate</t>
  </si>
  <si>
    <t>incopmlete</t>
  </si>
  <si>
    <t>absent</t>
  </si>
  <si>
    <t>weak</t>
  </si>
  <si>
    <t>periodic breathing</t>
  </si>
  <si>
    <t>apnea</t>
  </si>
  <si>
    <t>on vent with spontaneous breaths</t>
  </si>
  <si>
    <t>on vent without spontaneous breaths</t>
  </si>
  <si>
    <t>4</t>
  </si>
  <si>
    <t>bradycardia</t>
  </si>
  <si>
    <t>variable HR</t>
  </si>
  <si>
    <t>constricted</t>
  </si>
  <si>
    <t>deviation</t>
  </si>
  <si>
    <t>decreased activity</t>
  </si>
  <si>
    <t>no activity</t>
  </si>
  <si>
    <t>missed</t>
  </si>
  <si>
    <t>certified neuro examiner not available</t>
  </si>
  <si>
    <t>infant paralyzed</t>
  </si>
  <si>
    <t>not eligible</t>
  </si>
  <si>
    <t>consent granted</t>
  </si>
  <si>
    <t>parent refused consent</t>
  </si>
  <si>
    <t>physician refused</t>
  </si>
  <si>
    <t>consent not requested</t>
  </si>
  <si>
    <t>HEAL</t>
  </si>
  <si>
    <t>control</t>
  </si>
  <si>
    <t>72 hrs and 33.5C</t>
  </si>
  <si>
    <t>72 hrs and 32.0C</t>
  </si>
  <si>
    <t>120 hrs and 33.5C</t>
  </si>
  <si>
    <t>120 hrs and 32.0C</t>
  </si>
  <si>
    <t>placebo</t>
  </si>
  <si>
    <t>epo</t>
  </si>
  <si>
    <t>33.5C</t>
  </si>
  <si>
    <t>32.0C</t>
  </si>
  <si>
    <t>blanketrol II</t>
  </si>
  <si>
    <t>blanketrol III</t>
  </si>
  <si>
    <t>moderate</t>
  </si>
  <si>
    <t>severe</t>
  </si>
  <si>
    <t>≤ 12 hrs</t>
  </si>
  <si>
    <t>&gt; 12 hrs</t>
  </si>
  <si>
    <t>female</t>
  </si>
  <si>
    <t>ambiguous</t>
  </si>
  <si>
    <t>0.5</t>
  </si>
  <si>
    <t>hispanic or latino</t>
  </si>
  <si>
    <t>not hispanic or latino</t>
  </si>
  <si>
    <t>unknown</t>
  </si>
  <si>
    <t>&lt; 7th grade</t>
  </si>
  <si>
    <t>7th to 9th grade</t>
  </si>
  <si>
    <t>10th to 12th grade</t>
  </si>
  <si>
    <t>high school degree</t>
  </si>
  <si>
    <t>partial college</t>
  </si>
  <si>
    <t>5</t>
  </si>
  <si>
    <t>college degree</t>
  </si>
  <si>
    <t>6</t>
  </si>
  <si>
    <t>graduate degree</t>
  </si>
  <si>
    <t>7</t>
  </si>
  <si>
    <t>8</t>
  </si>
  <si>
    <t>LH-followup</t>
  </si>
  <si>
    <t>OC-followup</t>
  </si>
  <si>
    <t>private</t>
  </si>
  <si>
    <t>uninsured</t>
  </si>
  <si>
    <t>9</t>
  </si>
  <si>
    <t>both public and private</t>
  </si>
  <si>
    <t>black</t>
  </si>
  <si>
    <t>white</t>
  </si>
  <si>
    <t>american indian or alaska native</t>
  </si>
  <si>
    <t>asian</t>
  </si>
  <si>
    <t>native hawaiian or pacific islander</t>
  </si>
  <si>
    <t>more than one race</t>
  </si>
  <si>
    <t>unknown or not reported</t>
  </si>
  <si>
    <t>married</t>
  </si>
  <si>
    <t>single</t>
  </si>
  <si>
    <t>divorced</t>
  </si>
  <si>
    <t>widowed</t>
  </si>
  <si>
    <t>vaginal vertex, unassisted</t>
  </si>
  <si>
    <t>vaginal vertex, assisted</t>
  </si>
  <si>
    <t>vaginal breech</t>
  </si>
  <si>
    <t>vaginal NOS</t>
  </si>
  <si>
    <t>non-emergent cesarean</t>
  </si>
  <si>
    <t>emergent cesarean</t>
  </si>
  <si>
    <t>&lt; 5 mins</t>
  </si>
  <si>
    <t>5 - 10 mins</t>
  </si>
  <si>
    <t>10 mins - 1 hr</t>
  </si>
  <si>
    <t>1 - 4 hrs</t>
  </si>
  <si>
    <t>&gt; 4 hrs</t>
  </si>
  <si>
    <t>arterial</t>
  </si>
  <si>
    <t>venous</t>
  </si>
  <si>
    <t>mixed</t>
  </si>
  <si>
    <t>A</t>
  </si>
  <si>
    <t>V</t>
  </si>
  <si>
    <t>capillary</t>
  </si>
  <si>
    <t>C</t>
  </si>
  <si>
    <t>eq-name</t>
  </si>
  <si>
    <t>eq-LH-OC</t>
  </si>
  <si>
    <t>Ampicillin</t>
  </si>
  <si>
    <t>01</t>
  </si>
  <si>
    <t>Carbenicillin</t>
  </si>
  <si>
    <t>02</t>
  </si>
  <si>
    <t>Oxacillin</t>
  </si>
  <si>
    <t>03</t>
  </si>
  <si>
    <t>Penicillin G</t>
  </si>
  <si>
    <t>04</t>
  </si>
  <si>
    <t>Piperacillin</t>
  </si>
  <si>
    <t>05</t>
  </si>
  <si>
    <t>Ticarcillin</t>
  </si>
  <si>
    <t>06</t>
  </si>
  <si>
    <t>Mexlocillin</t>
  </si>
  <si>
    <t>07</t>
  </si>
  <si>
    <t>Methicillin</t>
  </si>
  <si>
    <t>08</t>
  </si>
  <si>
    <t>Nafcillin</t>
  </si>
  <si>
    <t>09</t>
  </si>
  <si>
    <t>Cephalothin</t>
  </si>
  <si>
    <t>20</t>
  </si>
  <si>
    <t>Cefazolin (Kefzol)</t>
  </si>
  <si>
    <t>21</t>
  </si>
  <si>
    <t>Cefotaxime (Claforan)</t>
  </si>
  <si>
    <t>22</t>
  </si>
  <si>
    <t>Cefoxitin</t>
  </si>
  <si>
    <t>23</t>
  </si>
  <si>
    <t>Moxalactam</t>
  </si>
  <si>
    <t>24</t>
  </si>
  <si>
    <t>Ceftazadime (Fortaz)</t>
  </si>
  <si>
    <t>25</t>
  </si>
  <si>
    <t>Ceftriaxone (Rocephin)</t>
  </si>
  <si>
    <t>26</t>
  </si>
  <si>
    <t>Ceftizoxime</t>
  </si>
  <si>
    <t>27</t>
  </si>
  <si>
    <t>Cefuroxime</t>
  </si>
  <si>
    <t>28</t>
  </si>
  <si>
    <t>Cefotetan</t>
  </si>
  <si>
    <t>29</t>
  </si>
  <si>
    <t>Amikacin</t>
  </si>
  <si>
    <t>31</t>
  </si>
  <si>
    <t>Gentamicin</t>
  </si>
  <si>
    <t>32</t>
  </si>
  <si>
    <t>Kanamycin</t>
  </si>
  <si>
    <t>33</t>
  </si>
  <si>
    <t>Tobramycin</t>
  </si>
  <si>
    <t>34</t>
  </si>
  <si>
    <t>Amphotericin B</t>
  </si>
  <si>
    <t>41</t>
  </si>
  <si>
    <t>Flucytosine (5FC)</t>
  </si>
  <si>
    <t>43</t>
  </si>
  <si>
    <t>Vancomycin</t>
  </si>
  <si>
    <t>44</t>
  </si>
  <si>
    <t>Vidarabine</t>
  </si>
  <si>
    <t>45</t>
  </si>
  <si>
    <t>Bactrim</t>
  </si>
  <si>
    <t>46</t>
  </si>
  <si>
    <t>Chloramphenicol (Chloromycetin)</t>
  </si>
  <si>
    <t>47</t>
  </si>
  <si>
    <t>Oral Nystatin</t>
  </si>
  <si>
    <t>48</t>
  </si>
  <si>
    <t>Clindamycin</t>
  </si>
  <si>
    <t>49</t>
  </si>
  <si>
    <t>Erythromycin (IV)</t>
  </si>
  <si>
    <t>50</t>
  </si>
  <si>
    <t>Fluconazole</t>
  </si>
  <si>
    <t>61</t>
  </si>
  <si>
    <t>Imipenem</t>
  </si>
  <si>
    <t>62</t>
  </si>
  <si>
    <t>Metronidazole</t>
  </si>
  <si>
    <t>63</t>
  </si>
  <si>
    <t>Aztreonam</t>
  </si>
  <si>
    <t>64</t>
  </si>
  <si>
    <t>Acyclovir</t>
  </si>
  <si>
    <t>71</t>
  </si>
  <si>
    <t>Ganciclovir</t>
  </si>
  <si>
    <t>72</t>
  </si>
  <si>
    <t>Ribavirin (Aerosol)</t>
  </si>
  <si>
    <t>73</t>
  </si>
  <si>
    <t>Zidovuldine (AZT)</t>
  </si>
  <si>
    <t>74</t>
  </si>
  <si>
    <t>Other</t>
  </si>
  <si>
    <t>99</t>
  </si>
  <si>
    <t>Other; Code to be assigned</t>
  </si>
  <si>
    <t>010</t>
  </si>
  <si>
    <t>Staphylococcus sp.</t>
  </si>
  <si>
    <t>100</t>
  </si>
  <si>
    <t>Staphylococcus aureus</t>
  </si>
  <si>
    <t>101</t>
  </si>
  <si>
    <t>Staphylococcus epidermidis</t>
  </si>
  <si>
    <t>102</t>
  </si>
  <si>
    <t>Staphylococcus sp. Unknown, coag -neg</t>
  </si>
  <si>
    <t>104</t>
  </si>
  <si>
    <t>Micrococcus sp.</t>
  </si>
  <si>
    <t>105</t>
  </si>
  <si>
    <t>Streptococcus sp. (includes Enterococcus)</t>
  </si>
  <si>
    <t>110</t>
  </si>
  <si>
    <t>Streptococcus viridans</t>
  </si>
  <si>
    <t>111</t>
  </si>
  <si>
    <t>Streptococcus Group A</t>
  </si>
  <si>
    <t>112</t>
  </si>
  <si>
    <t>Streptococcus Group B</t>
  </si>
  <si>
    <t>113</t>
  </si>
  <si>
    <t>Streptococcus Group G</t>
  </si>
  <si>
    <t>117</t>
  </si>
  <si>
    <t>Streptococcus pneumoniae</t>
  </si>
  <si>
    <t>133</t>
  </si>
  <si>
    <t>Streptococcus Group D</t>
  </si>
  <si>
    <t>134</t>
  </si>
  <si>
    <t>Streptococcus Group D faecum</t>
  </si>
  <si>
    <t>137</t>
  </si>
  <si>
    <t>Streptococcus Group D faecalis</t>
  </si>
  <si>
    <t>139</t>
  </si>
  <si>
    <t>Bacillus sp.</t>
  </si>
  <si>
    <t>140</t>
  </si>
  <si>
    <t>Listeria sp.</t>
  </si>
  <si>
    <t>150</t>
  </si>
  <si>
    <t>Listeria monocytogenes</t>
  </si>
  <si>
    <t>154</t>
  </si>
  <si>
    <t>Escherichia coli</t>
  </si>
  <si>
    <t>200</t>
  </si>
  <si>
    <t>Salmonella sp</t>
  </si>
  <si>
    <t>210</t>
  </si>
  <si>
    <t>Shigella sp.</t>
  </si>
  <si>
    <t>220</t>
  </si>
  <si>
    <t>Citrobacter sp.</t>
  </si>
  <si>
    <t>226</t>
  </si>
  <si>
    <t>Klebsiella sp.</t>
  </si>
  <si>
    <t>230</t>
  </si>
  <si>
    <t>Enterobacter sp.</t>
  </si>
  <si>
    <t>240</t>
  </si>
  <si>
    <t>Enterobacter cloacae</t>
  </si>
  <si>
    <t>243</t>
  </si>
  <si>
    <t>Serratia sp.</t>
  </si>
  <si>
    <t>250</t>
  </si>
  <si>
    <t>Serratia marcescens</t>
  </si>
  <si>
    <t>252</t>
  </si>
  <si>
    <t>Proteus sp.</t>
  </si>
  <si>
    <t>260</t>
  </si>
  <si>
    <t>Providencia sp.</t>
  </si>
  <si>
    <t>270</t>
  </si>
  <si>
    <t>Pseudomonas sp.</t>
  </si>
  <si>
    <t>300</t>
  </si>
  <si>
    <t>Pseudomonas aeruginosa</t>
  </si>
  <si>
    <t>301</t>
  </si>
  <si>
    <t>Pseudomonas cepacia</t>
  </si>
  <si>
    <t>303</t>
  </si>
  <si>
    <t>Acinetobacter antiratus</t>
  </si>
  <si>
    <t>320</t>
  </si>
  <si>
    <t>Herellea vaginicola</t>
  </si>
  <si>
    <t>325</t>
  </si>
  <si>
    <t>Bacteroides sp.</t>
  </si>
  <si>
    <t>410</t>
  </si>
  <si>
    <t>Clostridia sp.</t>
  </si>
  <si>
    <t>420</t>
  </si>
  <si>
    <t>Fusobacterium nucleatum</t>
  </si>
  <si>
    <t>444</t>
  </si>
  <si>
    <t>Peptococcus sp.</t>
  </si>
  <si>
    <t>450</t>
  </si>
  <si>
    <t>Peptostreptococcus sp.</t>
  </si>
  <si>
    <t>460</t>
  </si>
  <si>
    <t>Propionibacterium sp.</t>
  </si>
  <si>
    <t>470</t>
  </si>
  <si>
    <t>Corynebacterium sp.</t>
  </si>
  <si>
    <t>500</t>
  </si>
  <si>
    <t>Streptocbacillus sp.</t>
  </si>
  <si>
    <t>517</t>
  </si>
  <si>
    <t>Treponema sp.</t>
  </si>
  <si>
    <t>560</t>
  </si>
  <si>
    <t>Treponema pallidum (Syphilis)</t>
  </si>
  <si>
    <t>561</t>
  </si>
  <si>
    <t>Neisseria sp.</t>
  </si>
  <si>
    <t>570</t>
  </si>
  <si>
    <t>Neisseria gonorrhoeae</t>
  </si>
  <si>
    <t>573</t>
  </si>
  <si>
    <t>Hemophilus sp.</t>
  </si>
  <si>
    <t>590</t>
  </si>
  <si>
    <t>Hemophilus influenzae</t>
  </si>
  <si>
    <t>592</t>
  </si>
  <si>
    <t>Hemophilus vaginalis</t>
  </si>
  <si>
    <t>594</t>
  </si>
  <si>
    <t>Other Bacteria; Code to be assigned</t>
  </si>
  <si>
    <t>699</t>
  </si>
  <si>
    <t>Meningococcus meningitis</t>
  </si>
  <si>
    <t>702</t>
  </si>
  <si>
    <t>713</t>
  </si>
  <si>
    <t>733</t>
  </si>
  <si>
    <t>792</t>
  </si>
  <si>
    <t>Other Antigen; Code to be assigned</t>
  </si>
  <si>
    <t>799</t>
  </si>
  <si>
    <t>Aspergillus fumigatus</t>
  </si>
  <si>
    <t>802</t>
  </si>
  <si>
    <t>Aspergillus sp.</t>
  </si>
  <si>
    <t>805</t>
  </si>
  <si>
    <t>Candida sp.</t>
  </si>
  <si>
    <t>810</t>
  </si>
  <si>
    <t>Candida albicans</t>
  </si>
  <si>
    <t>811</t>
  </si>
  <si>
    <t>Candida parapsilosis</t>
  </si>
  <si>
    <t>816</t>
  </si>
  <si>
    <t>Torulopsis glabrata</t>
  </si>
  <si>
    <t>823</t>
  </si>
  <si>
    <t>Alternaria sp.</t>
  </si>
  <si>
    <t>833</t>
  </si>
  <si>
    <t>Auroebasidium sp.</t>
  </si>
  <si>
    <t>834</t>
  </si>
  <si>
    <t>Cladsporium sp.</t>
  </si>
  <si>
    <t>840</t>
  </si>
  <si>
    <t>Rhodotorula sp.</t>
  </si>
  <si>
    <t>870</t>
  </si>
  <si>
    <t>Saccharomyces sp. (yeast)</t>
  </si>
  <si>
    <t>872</t>
  </si>
  <si>
    <t>Malassezia fur fur</t>
  </si>
  <si>
    <t>881</t>
  </si>
  <si>
    <t>Other Fungi; Code to be assigned</t>
  </si>
  <si>
    <t>899</t>
  </si>
  <si>
    <t>CMV</t>
  </si>
  <si>
    <t>901</t>
  </si>
  <si>
    <t>Coxsackie</t>
  </si>
  <si>
    <t>902</t>
  </si>
  <si>
    <t>Herpes</t>
  </si>
  <si>
    <t>905</t>
  </si>
  <si>
    <t>Hepatitis</t>
  </si>
  <si>
    <t>906</t>
  </si>
  <si>
    <t>HIV</t>
  </si>
  <si>
    <t>907</t>
  </si>
  <si>
    <t>RSV</t>
  </si>
  <si>
    <t>908</t>
  </si>
  <si>
    <t>Rotavirus</t>
  </si>
  <si>
    <t>909</t>
  </si>
  <si>
    <t>Rubella</t>
  </si>
  <si>
    <t>910</t>
  </si>
  <si>
    <t>Toxoplasmosis hominis</t>
  </si>
  <si>
    <t>911</t>
  </si>
  <si>
    <t>Mycoplasma</t>
  </si>
  <si>
    <t>921</t>
  </si>
  <si>
    <t>Ureaplasma urealyticum</t>
  </si>
  <si>
    <t>922</t>
  </si>
  <si>
    <t>Para Influenza</t>
  </si>
  <si>
    <t>931</t>
  </si>
  <si>
    <t>Other Virus; Code to be assigned</t>
  </si>
  <si>
    <t>999</t>
  </si>
  <si>
    <t>bacterial</t>
  </si>
  <si>
    <t>fungal</t>
  </si>
  <si>
    <t>viral</t>
  </si>
  <si>
    <t>blood</t>
  </si>
  <si>
    <t>csf</t>
  </si>
  <si>
    <t>urine</t>
  </si>
  <si>
    <t>tracheal aspirate</t>
  </si>
  <si>
    <t>peritoneal</t>
  </si>
  <si>
    <t>Laparotomy</t>
  </si>
  <si>
    <t>201</t>
  </si>
  <si>
    <t>Bowel resection end to end anastomosis</t>
  </si>
  <si>
    <t>202</t>
  </si>
  <si>
    <t>Jejunostomy/ileostomy/colostomy</t>
  </si>
  <si>
    <t>203</t>
  </si>
  <si>
    <t>Ostomy takedown/reanastomosis</t>
  </si>
  <si>
    <t>204</t>
  </si>
  <si>
    <t>Peritoneal drain (for NEC)</t>
  </si>
  <si>
    <t>205</t>
  </si>
  <si>
    <t>Gastrostomy</t>
  </si>
  <si>
    <t>206</t>
  </si>
  <si>
    <t>Appendectomy</t>
  </si>
  <si>
    <t>207</t>
  </si>
  <si>
    <t>Fundoplication</t>
  </si>
  <si>
    <t>208</t>
  </si>
  <si>
    <t>T-E fistula/esophageal atresia repair</t>
  </si>
  <si>
    <t>209</t>
  </si>
  <si>
    <t>Gastroschisis/omphalocele repair</t>
  </si>
  <si>
    <t>Diaphragmatic hernia repair</t>
  </si>
  <si>
    <t>211</t>
  </si>
  <si>
    <t>Inguinal hernia repair</t>
  </si>
  <si>
    <t>212</t>
  </si>
  <si>
    <t>Tracheostomy</t>
  </si>
  <si>
    <t>Anterior cricoid split</t>
  </si>
  <si>
    <t>302</t>
  </si>
  <si>
    <t>Repair of extrophy of the bladder</t>
  </si>
  <si>
    <t>401</t>
  </si>
  <si>
    <t>Urinary diversion</t>
  </si>
  <si>
    <t>402</t>
  </si>
  <si>
    <t>Peritoneal dialysis</t>
  </si>
  <si>
    <t>403</t>
  </si>
  <si>
    <t>Correction of choanal atresia</t>
  </si>
  <si>
    <t>501</t>
  </si>
  <si>
    <t>Repair of cleft lip/palate</t>
  </si>
  <si>
    <t>502</t>
  </si>
  <si>
    <t>Ventricular peritoneal shunt</t>
  </si>
  <si>
    <t>601</t>
  </si>
  <si>
    <t>Central line placement</t>
  </si>
  <si>
    <t>Other Surgeries not listed</t>
  </si>
  <si>
    <t>Anencephaly</t>
  </si>
  <si>
    <t>Meningomyelocele</t>
  </si>
  <si>
    <t>Hydranecephaly</t>
  </si>
  <si>
    <t>103</t>
  </si>
  <si>
    <t>Congenital Hydrocephalus</t>
  </si>
  <si>
    <t>Holoprosencephaly</t>
  </si>
  <si>
    <t>Other Central Nervous System Defects</t>
  </si>
  <si>
    <t>199</t>
  </si>
  <si>
    <t>Pulmonary Atresia</t>
  </si>
  <si>
    <t>Tricuspid Atresia</t>
  </si>
  <si>
    <t>Hypoplastic Left Heart Syndrome</t>
  </si>
  <si>
    <t>Interrupted Aortic Arch</t>
  </si>
  <si>
    <t>Total Anomalous Pulmonary Venous Return</t>
  </si>
  <si>
    <t>Other Congenital Heart Defects</t>
  </si>
  <si>
    <t>299</t>
  </si>
  <si>
    <t>Cleft Palate</t>
  </si>
  <si>
    <t>Tracheo-Esophageal Fistula</t>
  </si>
  <si>
    <t>Esophageal Atresia</t>
  </si>
  <si>
    <t>Duodenal Atresia</t>
  </si>
  <si>
    <t>304</t>
  </si>
  <si>
    <t>Jejunal Atresia</t>
  </si>
  <si>
    <t>305</t>
  </si>
  <si>
    <t>Ileal Atresia</t>
  </si>
  <si>
    <t>306</t>
  </si>
  <si>
    <t>Atresia of large bowel or rectum</t>
  </si>
  <si>
    <t>307</t>
  </si>
  <si>
    <t>Imperforate anus</t>
  </si>
  <si>
    <t>308</t>
  </si>
  <si>
    <t>Omphalocele</t>
  </si>
  <si>
    <t>309</t>
  </si>
  <si>
    <t>Gastroschisis</t>
  </si>
  <si>
    <t>310</t>
  </si>
  <si>
    <t>Other Gastro-Intestinal Defects</t>
  </si>
  <si>
    <t>399</t>
  </si>
  <si>
    <t>Bilateral Renal Agenesis</t>
  </si>
  <si>
    <t>Bilateral polysystic, multicystic, or dysplastic k</t>
  </si>
  <si>
    <t>Obstructive Uropathy with Congenital Hydonephrosis</t>
  </si>
  <si>
    <t>Exstrophy of the Urinary Bladder</t>
  </si>
  <si>
    <t>404</t>
  </si>
  <si>
    <t>Other Genito-Urinary Defects</t>
  </si>
  <si>
    <t>499</t>
  </si>
  <si>
    <t>Trisomy 13</t>
  </si>
  <si>
    <t>Trisomy 18</t>
  </si>
  <si>
    <t>Trisomy 21</t>
  </si>
  <si>
    <t>503</t>
  </si>
  <si>
    <t>Other Chromosomal Abnormality (DESCRIBE w/ Comment</t>
  </si>
  <si>
    <t>504</t>
  </si>
  <si>
    <t>Skeletal Dysplasia (DESCRIBE w/ Comment)</t>
  </si>
  <si>
    <t>Congenital Diaphragmatic Hernia</t>
  </si>
  <si>
    <t>602</t>
  </si>
  <si>
    <t>Hydrops Fetalis with anasarca and one or more of t</t>
  </si>
  <si>
    <t>603</t>
  </si>
  <si>
    <t>Oligohydramnios sequence including all three of th</t>
  </si>
  <si>
    <t>604</t>
  </si>
  <si>
    <t>Inborn Error of Metabolism (DESCRIBE w/ Comment)</t>
  </si>
  <si>
    <t>605</t>
  </si>
  <si>
    <t>Myotonic Dystrophy requiring endotracheal intubati</t>
  </si>
  <si>
    <t>606</t>
  </si>
  <si>
    <t>Other Serious and/or Life-Threatening Birth Defect</t>
  </si>
  <si>
    <t>Topiramate (Topamax)</t>
  </si>
  <si>
    <t>Phenobarbital</t>
  </si>
  <si>
    <t>Lorazepam (Ativan)</t>
  </si>
  <si>
    <t>Phenytoin (Dilantin)</t>
  </si>
  <si>
    <t>Paraldehyde</t>
  </si>
  <si>
    <t>Levetiracetam (Keppra)</t>
  </si>
  <si>
    <t>Pyridoxine (Vitamin B6)</t>
  </si>
  <si>
    <t>Bumetanide (Bumex)</t>
  </si>
  <si>
    <t>Pentobarbital</t>
  </si>
  <si>
    <t>Morphine</t>
  </si>
  <si>
    <t>001</t>
  </si>
  <si>
    <t>Chloral hydrate</t>
  </si>
  <si>
    <t>002</t>
  </si>
  <si>
    <t>Fentanyl</t>
  </si>
  <si>
    <t>003</t>
  </si>
  <si>
    <t>Midazolam (Versed)</t>
  </si>
  <si>
    <t>004</t>
  </si>
  <si>
    <t>005</t>
  </si>
  <si>
    <t>009</t>
  </si>
  <si>
    <t>Ativan</t>
  </si>
  <si>
    <t>Acetaminophen</t>
  </si>
  <si>
    <t>Ibuprofen</t>
  </si>
  <si>
    <t>Pancuronium</t>
  </si>
  <si>
    <t>Vecuronium</t>
  </si>
  <si>
    <t>none</t>
  </si>
  <si>
    <t>HFV</t>
  </si>
  <si>
    <t>IMV</t>
  </si>
  <si>
    <t>CPAP</t>
  </si>
  <si>
    <t>hood</t>
  </si>
  <si>
    <t>nasal connula oxygen</t>
  </si>
  <si>
    <t>high flow nasal connula</t>
  </si>
  <si>
    <t>receive cooling as part of usual care at the site</t>
  </si>
  <si>
    <t>receive rewarming as part of usual care at the site</t>
  </si>
  <si>
    <t>serious adverse event</t>
  </si>
  <si>
    <t>DNR</t>
  </si>
  <si>
    <t>withdrawal of support</t>
  </si>
  <si>
    <t>death</t>
  </si>
  <si>
    <t>normal</t>
  </si>
  <si>
    <t>increased cerebral echogenicity/density</t>
  </si>
  <si>
    <t>increased thalamic/basal ganglia echogenicity/density</t>
  </si>
  <si>
    <t>germinal matrix hemorrhage</t>
  </si>
  <si>
    <t>intraventricular hemorrhage</t>
  </si>
  <si>
    <t>posterior fossa hemorrhage</t>
  </si>
  <si>
    <t>intraparenchymal hemorrhage</t>
  </si>
  <si>
    <t>subarachnoid hemorrhage</t>
  </si>
  <si>
    <t>subdural hemorrhage</t>
  </si>
  <si>
    <t>calcifications</t>
  </si>
  <si>
    <t>10</t>
  </si>
  <si>
    <t>loss of gray/white matter differentiation</t>
  </si>
  <si>
    <t>11</t>
  </si>
  <si>
    <t>ventriculomegaly</t>
  </si>
  <si>
    <t>12</t>
  </si>
  <si>
    <t>porencephaly</t>
  </si>
  <si>
    <t>13</t>
  </si>
  <si>
    <t>PVL</t>
  </si>
  <si>
    <t>14</t>
  </si>
  <si>
    <t>abnormal cerebral signal intensity; focal</t>
  </si>
  <si>
    <t>15</t>
  </si>
  <si>
    <t>abnormal cerebral signal intensity; diffuse</t>
  </si>
  <si>
    <t>16</t>
  </si>
  <si>
    <t>abnormal signal intensity; gray matter</t>
  </si>
  <si>
    <t>17</t>
  </si>
  <si>
    <t>abnormal signal intensity; white matter</t>
  </si>
  <si>
    <t>18</t>
  </si>
  <si>
    <t>abnormal basal ganglia/thalamic signal intensity</t>
  </si>
  <si>
    <t>19</t>
  </si>
  <si>
    <t>abnormal cerebeliar signal intensity</t>
  </si>
  <si>
    <t>abnormal brainstem signal intensity</t>
  </si>
  <si>
    <t>saggital sinus thrombosis</t>
  </si>
  <si>
    <t>congenital malformation</t>
  </si>
  <si>
    <t>post-intervention</t>
  </si>
  <si>
    <t>1 MRI obtained AFTER study intervention is complet</t>
  </si>
  <si>
    <t>in-intervention</t>
  </si>
  <si>
    <t>2 MRI obtained DURING study intervention period</t>
  </si>
  <si>
    <t>no arrangement</t>
  </si>
  <si>
    <t>no arrangement with satellite site</t>
  </si>
  <si>
    <t>MRI unavailable</t>
  </si>
  <si>
    <t>2 Unable to locate MRI or unavailable</t>
  </si>
  <si>
    <t>3 Other, specify</t>
  </si>
  <si>
    <t>Global</t>
  </si>
  <si>
    <t>1 Global</t>
  </si>
  <si>
    <t>Localized</t>
  </si>
  <si>
    <t>2 Localized</t>
  </si>
  <si>
    <t>PO, L&gt;R</t>
  </si>
  <si>
    <t>PO L&gt;R</t>
  </si>
  <si>
    <t>R&gt;L FP, R TM</t>
  </si>
  <si>
    <t>R&gt;L FP; R TM</t>
  </si>
  <si>
    <t>MILD DIFFUSE HEMISPHERIC</t>
  </si>
  <si>
    <t>MILD DIFFYSE HEMISPHERIC</t>
  </si>
  <si>
    <t>mild</t>
  </si>
  <si>
    <t>DIFFUSE</t>
  </si>
  <si>
    <t>LT HEMISPHERIC</t>
  </si>
  <si>
    <t>Normal</t>
  </si>
  <si>
    <t>1 None</t>
  </si>
  <si>
    <t>1 Normal</t>
  </si>
  <si>
    <t>1 Nominal</t>
  </si>
  <si>
    <t>Mild</t>
  </si>
  <si>
    <t>2 Equivocal</t>
  </si>
  <si>
    <t>2 Mild</t>
  </si>
  <si>
    <t>2 Minimal</t>
  </si>
  <si>
    <t>Moderate</t>
  </si>
  <si>
    <t>3 Moderate</t>
  </si>
  <si>
    <t>Severe</t>
  </si>
  <si>
    <t>4 Severe</t>
  </si>
  <si>
    <t>Shunted</t>
  </si>
  <si>
    <t>5 Shunted</t>
  </si>
  <si>
    <t>Abnormal</t>
  </si>
  <si>
    <t>3 Abnormal</t>
  </si>
  <si>
    <t>1 Minimal</t>
  </si>
  <si>
    <t>2 Moderate</t>
  </si>
  <si>
    <t>3 Severe</t>
  </si>
  <si>
    <t>1 0</t>
  </si>
  <si>
    <t>0 Normal</t>
  </si>
  <si>
    <t>1A</t>
  </si>
  <si>
    <t>2 1A</t>
  </si>
  <si>
    <t>1A Minimal cerebral lesions only</t>
  </si>
  <si>
    <t>1.1</t>
  </si>
  <si>
    <t>1B</t>
  </si>
  <si>
    <t>1.5</t>
  </si>
  <si>
    <t>3 1B</t>
  </si>
  <si>
    <t>1B more extensive cerebral lesions</t>
  </si>
  <si>
    <t>1.2</t>
  </si>
  <si>
    <t>2A</t>
  </si>
  <si>
    <t>4 2A</t>
  </si>
  <si>
    <t>2A1 any watershed infarction</t>
  </si>
  <si>
    <t>2A2 involvement of either BGT, PLIC</t>
  </si>
  <si>
    <t>2A3 Both 2A1 and 2A2</t>
  </si>
  <si>
    <t>2A1</t>
  </si>
  <si>
    <t>2A2</t>
  </si>
  <si>
    <t>2A3</t>
  </si>
  <si>
    <t>2.11</t>
  </si>
  <si>
    <t>2.12</t>
  </si>
  <si>
    <t>2.13</t>
  </si>
  <si>
    <t>2B</t>
  </si>
  <si>
    <t>2.5</t>
  </si>
  <si>
    <t>5 2B</t>
  </si>
  <si>
    <t>2B1 Any watershed or vascular infarction</t>
  </si>
  <si>
    <t>2B2 involvement of either BGT or PLIC</t>
  </si>
  <si>
    <t>2B3 Both 2B1 and 2B2</t>
  </si>
  <si>
    <t>2B1</t>
  </si>
  <si>
    <t>2B2</t>
  </si>
  <si>
    <t>2B3</t>
  </si>
  <si>
    <t>2.21</t>
  </si>
  <si>
    <t>2.22</t>
  </si>
  <si>
    <t>2.23</t>
  </si>
  <si>
    <t>6 3</t>
  </si>
  <si>
    <t>3 cerebral hemispheric devastation</t>
  </si>
  <si>
    <t>b</t>
  </si>
  <si>
    <t>c</t>
  </si>
  <si>
    <t>d</t>
  </si>
  <si>
    <t>R</t>
  </si>
  <si>
    <t>1 R</t>
  </si>
  <si>
    <t>L</t>
  </si>
  <si>
    <t>2 L</t>
  </si>
  <si>
    <t>R-L</t>
  </si>
  <si>
    <t>3 R-L</t>
  </si>
  <si>
    <t>L-R</t>
  </si>
  <si>
    <t>4 L-R</t>
  </si>
  <si>
    <t>R=L</t>
  </si>
  <si>
    <t>5 R=L</t>
  </si>
  <si>
    <t>Basal Ganglia</t>
  </si>
  <si>
    <t>BG Basal Ganglia</t>
  </si>
  <si>
    <t>BG</t>
  </si>
  <si>
    <t>Thalamus</t>
  </si>
  <si>
    <t>T Thalamus</t>
  </si>
  <si>
    <t>T</t>
  </si>
  <si>
    <t>Perisylvian</t>
  </si>
  <si>
    <t>PERI Perisylvian</t>
  </si>
  <si>
    <t>PERI</t>
  </si>
  <si>
    <t>Corona Radiata</t>
  </si>
  <si>
    <t>CR Corona Radiata</t>
  </si>
  <si>
    <t>CR</t>
  </si>
  <si>
    <t>Perirolandic</t>
  </si>
  <si>
    <t>PER Perirolandic</t>
  </si>
  <si>
    <t>PER</t>
  </si>
  <si>
    <t>Frontal-parietal</t>
  </si>
  <si>
    <t>FP Frontal-parietal</t>
  </si>
  <si>
    <t>FP</t>
  </si>
  <si>
    <t>Parietal-temporal</t>
  </si>
  <si>
    <t>PT Parietal-temporal</t>
  </si>
  <si>
    <t>PT</t>
  </si>
  <si>
    <t>Parietal-occipital</t>
  </si>
  <si>
    <t>PO Parietal-occipital</t>
  </si>
  <si>
    <t>PO</t>
  </si>
  <si>
    <t>Temporal-occipital</t>
  </si>
  <si>
    <t>TO Temporal-occipital</t>
  </si>
  <si>
    <t>TO</t>
  </si>
  <si>
    <t>Cerebellar</t>
  </si>
  <si>
    <t>BEL Cerebellar</t>
  </si>
  <si>
    <t>BEL</t>
  </si>
  <si>
    <t>Intraventricular</t>
  </si>
  <si>
    <t>VENT Intraventricular</t>
  </si>
  <si>
    <t>VENT</t>
  </si>
  <si>
    <t>Temporal</t>
  </si>
  <si>
    <t>TM Temporal</t>
  </si>
  <si>
    <t>TM</t>
  </si>
  <si>
    <t>Occipital</t>
  </si>
  <si>
    <t>O Occipital</t>
  </si>
  <si>
    <t>O</t>
  </si>
  <si>
    <t>Insular</t>
  </si>
  <si>
    <t>INS Insular</t>
  </si>
  <si>
    <t>INS</t>
  </si>
  <si>
    <t>Frontal</t>
  </si>
  <si>
    <t>F Frontal</t>
  </si>
  <si>
    <t>F</t>
  </si>
  <si>
    <t>Corpus Callosum</t>
  </si>
  <si>
    <t>CC Corpus Callosum</t>
  </si>
  <si>
    <t>CC</t>
  </si>
  <si>
    <t>Brainstem</t>
  </si>
  <si>
    <t>BS Brainstem</t>
  </si>
  <si>
    <t>BS</t>
  </si>
  <si>
    <t>Hippocampus</t>
  </si>
  <si>
    <t>HIP Hippocampus</t>
  </si>
  <si>
    <t>HIP</t>
  </si>
  <si>
    <t>PL PLIC</t>
  </si>
  <si>
    <t>PL</t>
  </si>
  <si>
    <t>Extra-Axial</t>
  </si>
  <si>
    <t>EX Extra-Axial</t>
  </si>
  <si>
    <t>EX</t>
  </si>
  <si>
    <t>Scalp</t>
  </si>
  <si>
    <t>S Scalp</t>
  </si>
  <si>
    <t>S</t>
  </si>
  <si>
    <t>Parasagittal area</t>
  </si>
  <si>
    <t>PARA Parasagittal area</t>
  </si>
  <si>
    <t>PARA</t>
  </si>
  <si>
    <t>Parietal</t>
  </si>
  <si>
    <t>P Parietal</t>
  </si>
  <si>
    <t>P</t>
  </si>
  <si>
    <t>Cerebral</t>
  </si>
  <si>
    <t>C Cerebral</t>
  </si>
  <si>
    <t>1 Right only</t>
  </si>
  <si>
    <t>R Right only</t>
  </si>
  <si>
    <t>2 Left only</t>
  </si>
  <si>
    <t>L Left only</t>
  </si>
  <si>
    <t>R&gt;L</t>
  </si>
  <si>
    <t>3 Right greater than left</t>
  </si>
  <si>
    <t>R&gt;L Right greater than left</t>
  </si>
  <si>
    <t>L&gt;R</t>
  </si>
  <si>
    <t>4 Left greater than right</t>
  </si>
  <si>
    <t>L&gt;R Left greater than right</t>
  </si>
  <si>
    <t>5 Right and left, equally</t>
  </si>
  <si>
    <t>R=L Right and left, equally</t>
  </si>
  <si>
    <t>Gray matter</t>
  </si>
  <si>
    <t>1 Gray matter</t>
  </si>
  <si>
    <t>1 GM Gray matter</t>
  </si>
  <si>
    <t>White matter</t>
  </si>
  <si>
    <t>2 White matter</t>
  </si>
  <si>
    <t>2 WM White matter</t>
  </si>
  <si>
    <t>Gray matter + White matter</t>
  </si>
  <si>
    <t>3 Gray matter + White matter</t>
  </si>
  <si>
    <t>3 GM+WM Gray and white matter</t>
  </si>
  <si>
    <t>1 Mild</t>
  </si>
  <si>
    <t>Extensive</t>
  </si>
  <si>
    <t>3 Extensive</t>
  </si>
  <si>
    <t>Cystic</t>
  </si>
  <si>
    <t>1 Cystic</t>
  </si>
  <si>
    <t>CYS Cystic</t>
  </si>
  <si>
    <t>CYS</t>
  </si>
  <si>
    <t>Non-Cystic</t>
  </si>
  <si>
    <t>2 Non-Cystic</t>
  </si>
  <si>
    <t>NCYS Non-Cystic</t>
  </si>
  <si>
    <t>NCYS</t>
  </si>
  <si>
    <t>Hemorrhage</t>
  </si>
  <si>
    <t>3 Hemorrhage</t>
  </si>
  <si>
    <t>HEM Hemorrhage</t>
  </si>
  <si>
    <t>HEM</t>
  </si>
  <si>
    <t>Edema</t>
  </si>
  <si>
    <t>4 Edema</t>
  </si>
  <si>
    <t>ED Edema</t>
  </si>
  <si>
    <t>ED</t>
  </si>
  <si>
    <t>Infarct</t>
  </si>
  <si>
    <t>5 Infarct</t>
  </si>
  <si>
    <t>INF Infarct</t>
  </si>
  <si>
    <t>INF</t>
  </si>
  <si>
    <t>Gliosis</t>
  </si>
  <si>
    <t>6 Gliosis</t>
  </si>
  <si>
    <t>radiant warmer</t>
  </si>
  <si>
    <t>incubator</t>
  </si>
  <si>
    <t>crib</t>
  </si>
  <si>
    <t>servo control</t>
  </si>
  <si>
    <t>air manual control</t>
  </si>
  <si>
    <t>medical procedure</t>
  </si>
  <si>
    <t>criteria not met</t>
  </si>
  <si>
    <t>not done</t>
  </si>
  <si>
    <t>sinus bradycardia</t>
  </si>
  <si>
    <t>&gt; 15 mins</t>
  </si>
  <si>
    <t>&gt; 20 mins</t>
  </si>
  <si>
    <t>&gt; 30 mins</t>
  </si>
  <si>
    <t>&gt; 40 mins</t>
  </si>
  <si>
    <t>60-69 bpm</t>
  </si>
  <si>
    <t>50-59 bpm</t>
  </si>
  <si>
    <t>&lt; 50 bpm</t>
  </si>
  <si>
    <t>false</t>
  </si>
  <si>
    <t>N</t>
  </si>
  <si>
    <t>erythema</t>
  </si>
  <si>
    <t>sclerema</t>
  </si>
  <si>
    <t>cyanosis</t>
  </si>
  <si>
    <t>subcutaneous fat necrosis</t>
  </si>
  <si>
    <t>true</t>
  </si>
  <si>
    <t>Y</t>
  </si>
  <si>
    <t>not likely</t>
  </si>
  <si>
    <t>possibly</t>
  </si>
  <si>
    <t>probably</t>
  </si>
  <si>
    <t>no change</t>
  </si>
  <si>
    <t>hypothermia discontinued</t>
  </si>
  <si>
    <t>completely resolved</t>
  </si>
  <si>
    <t>resolved with sequelae</t>
  </si>
  <si>
    <t>patient died</t>
  </si>
  <si>
    <t>not resolved</t>
  </si>
  <si>
    <t>proven sepsis</t>
  </si>
  <si>
    <t>suspect sepsis</t>
  </si>
  <si>
    <t>asphyxial brain injury</t>
  </si>
  <si>
    <t>multi-organ failure</t>
  </si>
  <si>
    <t>MAS</t>
  </si>
  <si>
    <t>PPHN</t>
  </si>
  <si>
    <t>pneumonia</t>
  </si>
  <si>
    <t>CLD</t>
  </si>
  <si>
    <t>BPD/CLD</t>
  </si>
  <si>
    <t>BPD with infection</t>
  </si>
  <si>
    <t>aspiration pneumonia</t>
  </si>
  <si>
    <t>85</t>
  </si>
  <si>
    <t>30</t>
  </si>
  <si>
    <t>CNS infection</t>
  </si>
  <si>
    <t>pulmonary infection</t>
  </si>
  <si>
    <t>trauma, accident</t>
  </si>
  <si>
    <t>65</t>
  </si>
  <si>
    <t>child abuse</t>
  </si>
  <si>
    <t>66</t>
  </si>
  <si>
    <t>dehydration</t>
  </si>
  <si>
    <t>67</t>
  </si>
  <si>
    <t>68</t>
  </si>
  <si>
    <t>malignancy</t>
  </si>
  <si>
    <t>69</t>
  </si>
  <si>
    <t>90</t>
  </si>
  <si>
    <t>hospital autopsy</t>
  </si>
  <si>
    <t>medical examiner autopsy</t>
  </si>
  <si>
    <t>morbidity/mortality review</t>
  </si>
  <si>
    <t>death certificate</t>
  </si>
  <si>
    <t>discharge home</t>
  </si>
  <si>
    <t>transfer to another hospital</t>
  </si>
  <si>
    <t>transfer to chronic care facility</t>
  </si>
  <si>
    <t>transfer</t>
  </si>
  <si>
    <t>died</t>
  </si>
  <si>
    <t>remain in hospital at 6 months</t>
  </si>
  <si>
    <t>consent withdrawn no additional data</t>
  </si>
  <si>
    <t>lack of beds</t>
  </si>
  <si>
    <t>family convenience</t>
  </si>
  <si>
    <t>specialized care</t>
  </si>
  <si>
    <t>chronic or hospice care</t>
  </si>
  <si>
    <t>remain in hospital or chronic care facility at 6 months</t>
  </si>
  <si>
    <t>discharge</t>
  </si>
  <si>
    <t>equipment not available</t>
  </si>
  <si>
    <t>equipment malfunctioned</t>
  </si>
  <si>
    <t>infant transferred out of study site</t>
  </si>
  <si>
    <t>neonatologist withdrew child from study</t>
  </si>
  <si>
    <t>hypothermia never started</t>
  </si>
  <si>
    <t>hypothermia initiated at &lt; 6 hrs or &gt; 24 hrs</t>
  </si>
  <si>
    <t>hypothermia discontinued before 96 hrs</t>
  </si>
  <si>
    <t>wrong treatment group</t>
  </si>
  <si>
    <t>infant ineligible</t>
  </si>
  <si>
    <t>no consent</t>
  </si>
  <si>
    <t>neuro exam at eligibility not done</t>
  </si>
  <si>
    <t>equipment safety shut off</t>
  </si>
  <si>
    <t>mother</t>
  </si>
  <si>
    <t>father</t>
  </si>
  <si>
    <t>husband of mother</t>
  </si>
  <si>
    <t>011</t>
  </si>
  <si>
    <t>wife of father</t>
  </si>
  <si>
    <t>012</t>
  </si>
  <si>
    <t>maternal grandmother</t>
  </si>
  <si>
    <t>021</t>
  </si>
  <si>
    <t>paternal grandmother</t>
  </si>
  <si>
    <t>022</t>
  </si>
  <si>
    <t>maternal grandfather</t>
  </si>
  <si>
    <t>031</t>
  </si>
  <si>
    <t>paternal grandfather</t>
  </si>
  <si>
    <t>032</t>
  </si>
  <si>
    <t>maternal aunt</t>
  </si>
  <si>
    <t>041</t>
  </si>
  <si>
    <t>paternal aunt</t>
  </si>
  <si>
    <t>42</t>
  </si>
  <si>
    <t>042</t>
  </si>
  <si>
    <t>maternal uncle</t>
  </si>
  <si>
    <t>51</t>
  </si>
  <si>
    <t>051</t>
  </si>
  <si>
    <t>paternal uncle</t>
  </si>
  <si>
    <t>52</t>
  </si>
  <si>
    <t>052</t>
  </si>
  <si>
    <t>brother</t>
  </si>
  <si>
    <t>061</t>
  </si>
  <si>
    <t>step brother</t>
  </si>
  <si>
    <t>062</t>
  </si>
  <si>
    <t>sister</t>
  </si>
  <si>
    <t>071</t>
  </si>
  <si>
    <t>step sister</t>
  </si>
  <si>
    <t>072</t>
  </si>
  <si>
    <t>maternal female cousin</t>
  </si>
  <si>
    <t>81</t>
  </si>
  <si>
    <t>081</t>
  </si>
  <si>
    <t>paternal female cousin</t>
  </si>
  <si>
    <t>82</t>
  </si>
  <si>
    <t>082</t>
  </si>
  <si>
    <t>maternal male cousin</t>
  </si>
  <si>
    <t>91</t>
  </si>
  <si>
    <t>091</t>
  </si>
  <si>
    <t>paternal male cousin</t>
  </si>
  <si>
    <t>92</t>
  </si>
  <si>
    <t>092</t>
  </si>
  <si>
    <t>other maternal relative</t>
  </si>
  <si>
    <t>other paternal relative</t>
  </si>
  <si>
    <t>foster mother</t>
  </si>
  <si>
    <t>foster father</t>
  </si>
  <si>
    <t>adoptive mother</t>
  </si>
  <si>
    <t>adoptive father</t>
  </si>
  <si>
    <t>other non-relative</t>
  </si>
  <si>
    <t>social worker</t>
  </si>
  <si>
    <t>staff in congregate care</t>
  </si>
  <si>
    <t>still hospitalized</t>
  </si>
  <si>
    <t>no</t>
  </si>
  <si>
    <t>received but discontinued</t>
  </si>
  <si>
    <t>received</t>
  </si>
  <si>
    <t>recommended but not received</t>
  </si>
  <si>
    <t>&lt; $5,000</t>
  </si>
  <si>
    <t>$5,000 to $9,999</t>
  </si>
  <si>
    <t>$10,000 to $19,999</t>
  </si>
  <si>
    <t>$20,000 to $29,999</t>
  </si>
  <si>
    <t>$30,000 to $39,999</t>
  </si>
  <si>
    <t>$40,000 to $49,999</t>
  </si>
  <si>
    <t>$50,000 to $74,999</t>
  </si>
  <si>
    <t>&gt; $75,000</t>
  </si>
  <si>
    <t>English</t>
  </si>
  <si>
    <t>Spanish</t>
  </si>
  <si>
    <t>primary caregiver's home</t>
  </si>
  <si>
    <t>relative's home</t>
  </si>
  <si>
    <t>other home</t>
  </si>
  <si>
    <t>facility</t>
  </si>
  <si>
    <t>relative</t>
  </si>
  <si>
    <t>non-relative</t>
  </si>
  <si>
    <t>clinic</t>
  </si>
  <si>
    <t>home</t>
  </si>
  <si>
    <t>telephone</t>
  </si>
  <si>
    <t>hospital</t>
  </si>
  <si>
    <t>biological parents</t>
  </si>
  <si>
    <t>biological mother</t>
  </si>
  <si>
    <t>biological father</t>
  </si>
  <si>
    <t>biological parents in extended family</t>
  </si>
  <si>
    <t>biological mother in extended family</t>
  </si>
  <si>
    <t>biological father in extended family</t>
  </si>
  <si>
    <t>maternal grandparents</t>
  </si>
  <si>
    <t>paternal grandparents</t>
  </si>
  <si>
    <t>other non-adoptive relative</t>
  </si>
  <si>
    <t>relative adoptive parent</t>
  </si>
  <si>
    <t>non-relative adoptive parent</t>
  </si>
  <si>
    <t>friends of family</t>
  </si>
  <si>
    <t>foster family home of relative</t>
  </si>
  <si>
    <t>foster family home of non-relative</t>
  </si>
  <si>
    <t>pre-adoptive home</t>
  </si>
  <si>
    <t>chronic care facility</t>
  </si>
  <si>
    <t>group home</t>
  </si>
  <si>
    <t>no stable caretaker</t>
  </si>
  <si>
    <t>biological mother and significant other male</t>
  </si>
  <si>
    <t>biological mother and significant other female</t>
  </si>
  <si>
    <t>biological father and significant other male</t>
  </si>
  <si>
    <t>biological father and significant other female</t>
  </si>
  <si>
    <t>yes, but stopped</t>
  </si>
  <si>
    <t>yes, still using</t>
  </si>
  <si>
    <t>strabismus</t>
  </si>
  <si>
    <t>cataract</t>
  </si>
  <si>
    <t>ROP</t>
  </si>
  <si>
    <t>before 1st birthday</t>
  </si>
  <si>
    <t>after 1st birthday</t>
  </si>
  <si>
    <t>1 week or less</t>
  </si>
  <si>
    <t>more than 1 week</t>
  </si>
  <si>
    <t>respiratory</t>
  </si>
  <si>
    <t>CNS</t>
  </si>
  <si>
    <t>infection</t>
  </si>
  <si>
    <t>growth and nutrition</t>
  </si>
  <si>
    <t>environmental</t>
  </si>
  <si>
    <t>reflux</t>
  </si>
  <si>
    <t>apparent life threatening event</t>
  </si>
  <si>
    <t>trauma (accidental)</t>
  </si>
  <si>
    <t>trauma (non-accidental)</t>
  </si>
  <si>
    <t>vomitting, diarrhea, dehydration</t>
  </si>
  <si>
    <t>sleep study</t>
  </si>
  <si>
    <t>yes</t>
  </si>
  <si>
    <t>suspect</t>
  </si>
  <si>
    <t>untestable</t>
  </si>
  <si>
    <t>wears or prescribed corrective lenses</t>
  </si>
  <si>
    <t>other abnormality</t>
  </si>
  <si>
    <t>blind some functional vision</t>
  </si>
  <si>
    <t>blind no useful vision</t>
  </si>
  <si>
    <t>pass</t>
  </si>
  <si>
    <t>fail</t>
  </si>
  <si>
    <t>equivocal</t>
  </si>
  <si>
    <t>no apparent functional impairment</t>
  </si>
  <si>
    <t>impairment</t>
  </si>
  <si>
    <t>right only</t>
  </si>
  <si>
    <t>left only</t>
  </si>
  <si>
    <t>both</t>
  </si>
  <si>
    <t>abnormal</t>
  </si>
  <si>
    <t>tube fed</t>
  </si>
  <si>
    <t>suspect increased</t>
  </si>
  <si>
    <t>definite increased</t>
  </si>
  <si>
    <t>suspect decreased</t>
  </si>
  <si>
    <t>definite decreased</t>
  </si>
  <si>
    <t>varying tone</t>
  </si>
  <si>
    <t>possible level 1</t>
  </si>
  <si>
    <t>level 1</t>
  </si>
  <si>
    <t>level 2</t>
  </si>
  <si>
    <t>level 3</t>
  </si>
  <si>
    <t>level 4</t>
  </si>
  <si>
    <t>level 5</t>
  </si>
  <si>
    <t>exaggerated right</t>
  </si>
  <si>
    <t>exaggerated left</t>
  </si>
  <si>
    <t>symmetry</t>
  </si>
  <si>
    <t>asymmetry</t>
  </si>
  <si>
    <t>not present</t>
  </si>
  <si>
    <t>symmetrical</t>
  </si>
  <si>
    <t>more on right</t>
  </si>
  <si>
    <t>more on left</t>
  </si>
  <si>
    <t>normal (1 to 3+)</t>
  </si>
  <si>
    <t>absent (0)</t>
  </si>
  <si>
    <t>hyperactive (4+)</t>
  </si>
  <si>
    <t>none (≤ 4 beats)</t>
  </si>
  <si>
    <t>present (&gt; 4 beats)</t>
  </si>
  <si>
    <t>sustained</t>
  </si>
  <si>
    <t>flexor plantar response</t>
  </si>
  <si>
    <t>extensor plantar response</t>
  </si>
  <si>
    <t>spontaneous extension ± fanning</t>
  </si>
  <si>
    <t>inconsistent results</t>
  </si>
  <si>
    <t>normal head control</t>
  </si>
  <si>
    <t>abnormal, but can hold head up for extended period (&gt; 5 mins)</t>
  </si>
  <si>
    <t>poor head control but can hold head up for short period</t>
  </si>
  <si>
    <t>no obvious head control</t>
  </si>
  <si>
    <t>no apparent problem</t>
  </si>
  <si>
    <t>can sit unsupported but less secure and stable than normal child of same age</t>
  </si>
  <si>
    <t>cannot be left in sitting position unless self-supported</t>
  </si>
  <si>
    <t>servere impairment: difficult to place or maintain in sitting position</t>
  </si>
  <si>
    <t>no significant problem with gait, walks fluently</t>
  </si>
  <si>
    <t>gait functional but not fluent, no device required</t>
  </si>
  <si>
    <t>gait functional, non-fluent and requires device</t>
  </si>
  <si>
    <t>no independent walking</t>
  </si>
  <si>
    <t>no apparent problem with bimanual tasks</t>
  </si>
  <si>
    <t>some difficulty using both hands together</t>
  </si>
  <si>
    <t>no functional bimanual task</t>
  </si>
  <si>
    <t>fine pincer grasp</t>
  </si>
  <si>
    <t>finger-thumb grasp</t>
  </si>
  <si>
    <t>more than one finger-thumb grasp</t>
  </si>
  <si>
    <t>tries but unable to grasp</t>
  </si>
  <si>
    <t>does not attempt to grasp</t>
  </si>
  <si>
    <t>refusal</t>
  </si>
  <si>
    <t>cannot access</t>
  </si>
  <si>
    <t>good</t>
  </si>
  <si>
    <t>fair</t>
  </si>
  <si>
    <t>poor</t>
  </si>
  <si>
    <t>illness</t>
  </si>
  <si>
    <t>language other than English and interpreter not available</t>
  </si>
  <si>
    <t>behavioral problems</t>
  </si>
  <si>
    <t>severely developmentally delayed plus may have sensory impairment</t>
  </si>
  <si>
    <t>sensory impairment - appears mild or moderate delayed for age</t>
  </si>
  <si>
    <t>sensory impairment - but appears to be within normal limits for age</t>
  </si>
  <si>
    <t>severely developmentally delayed</t>
  </si>
  <si>
    <t>servere cerebral palsy</t>
  </si>
  <si>
    <t>anatomic abnormalities of hand / feet</t>
  </si>
  <si>
    <t>child seen, follow-up visit completed</t>
  </si>
  <si>
    <t>died after initial discharge to home</t>
  </si>
  <si>
    <t>lost to follow-up</t>
  </si>
  <si>
    <t>follow-up visit completed in another NRN center</t>
  </si>
  <si>
    <t>child seen, but follow-up visit incomplete</t>
  </si>
  <si>
    <t>adopted</t>
  </si>
  <si>
    <t>out of area</t>
  </si>
  <si>
    <t>lost</t>
  </si>
  <si>
    <t>refused informed consent for follow-up</t>
  </si>
  <si>
    <t>non compliant</t>
  </si>
  <si>
    <t>foster care</t>
  </si>
  <si>
    <t>very good</t>
  </si>
  <si>
    <t>excellent</t>
  </si>
  <si>
    <t>&lt;HS</t>
  </si>
  <si>
    <t>HS</t>
  </si>
  <si>
    <t>&gt;HS</t>
  </si>
  <si>
    <t>Black</t>
  </si>
  <si>
    <t>White</t>
  </si>
  <si>
    <t>primary</t>
  </si>
  <si>
    <t>secondary</t>
  </si>
  <si>
    <t>yes but hemispheric devastation</t>
  </si>
  <si>
    <t>-3</t>
  </si>
  <si>
    <t>no lesion</t>
  </si>
  <si>
    <t>-1</t>
  </si>
  <si>
    <t>FALSE</t>
  </si>
  <si>
    <t>TRUE</t>
  </si>
  <si>
    <t>0-1</t>
  </si>
  <si>
    <t>2-3</t>
  </si>
  <si>
    <t>2 Abnormal</t>
  </si>
  <si>
    <t>normal with other findings</t>
  </si>
  <si>
    <t>3 Normal with other findings</t>
  </si>
  <si>
    <t>0-Normal</t>
  </si>
  <si>
    <t>2-BGT</t>
  </si>
  <si>
    <t>2-WS</t>
  </si>
  <si>
    <t>3-Hemi</t>
  </si>
  <si>
    <t>Has primary</t>
  </si>
  <si>
    <t>Death</t>
  </si>
  <si>
    <t>global</t>
  </si>
  <si>
    <t>local</t>
  </si>
  <si>
    <t>mderate</t>
  </si>
  <si>
    <t>shunted</t>
  </si>
  <si>
    <t>extensive</t>
  </si>
  <si>
    <t>hemispheric devastation</t>
  </si>
  <si>
    <t>cord</t>
  </si>
  <si>
    <t>Cord</t>
  </si>
  <si>
    <t>postnatal</t>
  </si>
  <si>
    <t>Post</t>
  </si>
  <si>
    <t>lower_var</t>
  </si>
  <si>
    <t>var_eq_redcap</t>
  </si>
  <si>
    <t>connect_redcap</t>
  </si>
  <si>
    <t>snakecase_var</t>
  </si>
  <si>
    <t>PREVENT</t>
  </si>
  <si>
    <t>NINDS</t>
  </si>
  <si>
    <t>BONBID</t>
  </si>
  <si>
    <t>PBI</t>
  </si>
  <si>
    <t>Florida</t>
  </si>
  <si>
    <t>MARBLE</t>
  </si>
  <si>
    <t>EMBRACE</t>
  </si>
  <si>
    <t>HELIX</t>
  </si>
  <si>
    <t>Site name</t>
  </si>
  <si>
    <t>site</t>
  </si>
  <si>
    <t>Subject ID</t>
  </si>
  <si>
    <t>analysisid</t>
  </si>
  <si>
    <t>siteName</t>
  </si>
  <si>
    <t>the name of the site (center:site)</t>
  </si>
  <si>
    <t>site_name</t>
  </si>
  <si>
    <t>Birth date</t>
  </si>
  <si>
    <t>Comment text</t>
  </si>
  <si>
    <t>core_temp_below32p5c_over2hr</t>
  </si>
  <si>
    <t>core_temp_below33p5c_over1hr</t>
  </si>
  <si>
    <t>first6hr_cool_by_clinical_protocol</t>
  </si>
  <si>
    <t>chromosomal_abnormality</t>
  </si>
  <si>
    <t>major_congenital_anomaly</t>
  </si>
  <si>
    <t>birth_weight_below1800g</t>
  </si>
  <si>
    <t>infant_unlikely_survive</t>
  </si>
  <si>
    <t>first60min_all_blood_gas_ph_above7p15_base_deficit_below10meqperl</t>
  </si>
  <si>
    <t>postnatal_age_below6h_or_above24hr</t>
  </si>
  <si>
    <t>enrolled_conflicting_trial</t>
  </si>
  <si>
    <t>first60min_any_blood_gas_ph_below7</t>
  </si>
  <si>
    <t>first60min_any_blood_gas_base_deficit_above16meqperl</t>
  </si>
  <si>
    <t>history_perinatal_event</t>
  </si>
  <si>
    <t>at10min_apgar_below5_or_vent</t>
  </si>
  <si>
    <t>name of examiner</t>
  </si>
  <si>
    <t>LH2NAME</t>
  </si>
  <si>
    <t>OC2NAME</t>
  </si>
  <si>
    <t>Informed consent obtained indicator</t>
  </si>
  <si>
    <t>Randomized indicator</t>
  </si>
  <si>
    <t>Randomized date and time</t>
  </si>
  <si>
    <t>hours2randomize</t>
  </si>
  <si>
    <t>arm_cradle_study</t>
  </si>
  <si>
    <t>txtassign</t>
  </si>
  <si>
    <t>ma_baby_notinc_st udy</t>
  </si>
  <si>
    <t>initials of person completing this form (ignore)</t>
  </si>
  <si>
    <t>other_study</t>
  </si>
  <si>
    <t>cooled</t>
  </si>
  <si>
    <t>mother_age_yr</t>
  </si>
  <si>
    <t>ma_age_mother</t>
  </si>
  <si>
    <t>Maternal delivery age value</t>
  </si>
  <si>
    <t>mom_age</t>
  </si>
  <si>
    <t>maternal_age</t>
  </si>
  <si>
    <t>Race USA maternal category</t>
  </si>
  <si>
    <t>mom_race</t>
  </si>
  <si>
    <t>other_race</t>
  </si>
  <si>
    <t>Ethnicity USA maternal category</t>
  </si>
  <si>
    <t>mom_ethnicity</t>
  </si>
  <si>
    <t>ma_marital_status</t>
  </si>
  <si>
    <t>mom_education</t>
  </si>
  <si>
    <t>motherPrePregnancyWeight_kg</t>
  </si>
  <si>
    <t>Mother's pre-pregnancy weight</t>
  </si>
  <si>
    <t>HEAL: pounds</t>
  </si>
  <si>
    <t>mom_preweight</t>
  </si>
  <si>
    <t>Paternal Demographics</t>
  </si>
  <si>
    <t>fatherAge_year</t>
  </si>
  <si>
    <t>ma_age_father</t>
  </si>
  <si>
    <t>Gravida value</t>
  </si>
  <si>
    <t>Parity maternal value</t>
  </si>
  <si>
    <t>mh_parity</t>
  </si>
  <si>
    <t>para</t>
  </si>
  <si>
    <t>inf_multiple</t>
  </si>
  <si>
    <t>multiple_births</t>
  </si>
  <si>
    <t>number_of_fetuses</t>
  </si>
  <si>
    <t>pregnancyComplication</t>
  </si>
  <si>
    <t>Complications during pregnancy</t>
  </si>
  <si>
    <t>pregnancy_complication</t>
  </si>
  <si>
    <t>preg_comp</t>
  </si>
  <si>
    <t>mh_preclampsia</t>
  </si>
  <si>
    <t>preeclampsia</t>
  </si>
  <si>
    <t>pre-eclampsia</t>
  </si>
  <si>
    <t>hypertensionText</t>
  </si>
  <si>
    <t>Hypertension details</t>
  </si>
  <si>
    <t>hypertension_text</t>
  </si>
  <si>
    <t>hypertension_details</t>
  </si>
  <si>
    <t>mh_thyroiddis</t>
  </si>
  <si>
    <t>thyroid_dysfunction</t>
  </si>
  <si>
    <t>mh_gestdiabetes</t>
  </si>
  <si>
    <t>diabetesText</t>
  </si>
  <si>
    <t>Diabetes details</t>
  </si>
  <si>
    <t>diabetes_text</t>
  </si>
  <si>
    <t>diabetes_details</t>
  </si>
  <si>
    <t>pregnancyComplicationOtherText</t>
  </si>
  <si>
    <t>Other complication description</t>
  </si>
  <si>
    <t>pregnancy_complication_other_text</t>
  </si>
  <si>
    <t>other_complication</t>
  </si>
  <si>
    <t>maternalMedication</t>
  </si>
  <si>
    <t>Maternal medications</t>
  </si>
  <si>
    <t>maternal_medication</t>
  </si>
  <si>
    <t>maternal_medications</t>
  </si>
  <si>
    <t>maternalMedicationOther</t>
  </si>
  <si>
    <t>Other maternal medications</t>
  </si>
  <si>
    <t>maternal_medication_other</t>
  </si>
  <si>
    <t>other_maternal_medications</t>
  </si>
  <si>
    <t>IUGR</t>
  </si>
  <si>
    <t>iugr</t>
  </si>
  <si>
    <t>ma_date_hos_admis sion</t>
  </si>
  <si>
    <t>Hospital admission date and time</t>
  </si>
  <si>
    <t>Vaginal examination at the time of admission to hospital done</t>
  </si>
  <si>
    <t>ma_adm_viag_done</t>
  </si>
  <si>
    <t>Dilatation at the time of admission to the Hospital</t>
  </si>
  <si>
    <t>ma_dia_admis</t>
  </si>
  <si>
    <t>birthHospital</t>
  </si>
  <si>
    <t>Birth hospital</t>
  </si>
  <si>
    <t>birth_hospital</t>
  </si>
  <si>
    <t>otherBirthLocation</t>
  </si>
  <si>
    <t>Other location of birth</t>
  </si>
  <si>
    <t>other_birth_location</t>
  </si>
  <si>
    <t>other_location</t>
  </si>
  <si>
    <t>rom_18_hours</t>
  </si>
  <si>
    <t>ruptureBeforeDelivery_hr</t>
  </si>
  <si>
    <t>ROM hours prior to delivery</t>
  </si>
  <si>
    <t>rupture_before_delivery_hr</t>
  </si>
  <si>
    <t>rom_ptd</t>
  </si>
  <si>
    <t>Delivery mode type</t>
  </si>
  <si>
    <t>nd_deliverymodality</t>
  </si>
  <si>
    <t>delivery</t>
  </si>
  <si>
    <t>delmode</t>
  </si>
  <si>
    <t>feteal_decels</t>
  </si>
  <si>
    <t>prolapsedCord</t>
  </si>
  <si>
    <t>mh_prolapsedcord</t>
  </si>
  <si>
    <t>tightNuchalCord</t>
  </si>
  <si>
    <t>mh_tightnuch</t>
  </si>
  <si>
    <t>mh_uterinerupt</t>
  </si>
  <si>
    <t>mh_shoulderdyst</t>
  </si>
  <si>
    <t>mh_placabruption</t>
  </si>
  <si>
    <t>Perinanal sentinel event (NEJM: shoulder dystocia, prolapse cord, uterine rupture, placental abruption)</t>
  </si>
  <si>
    <t>mh_sentinel</t>
  </si>
  <si>
    <t>perinatalSentinelEvent2</t>
  </si>
  <si>
    <t>Perinatal sentinel event v2: perinatalSentinelEvent + tight nuchal cord</t>
  </si>
  <si>
    <t>mh_sentinel_v2</t>
  </si>
  <si>
    <t>mh_fever</t>
  </si>
  <si>
    <t>maternal_fever_yes_no</t>
  </si>
  <si>
    <t>mh_chorio</t>
  </si>
  <si>
    <t>placental_pathology</t>
  </si>
  <si>
    <t>otherChorioamnionitisText</t>
  </si>
  <si>
    <t>Description of other evidence of chorioamnionitis</t>
  </si>
  <si>
    <t>other_chorioamnionitis_text</t>
  </si>
  <si>
    <t>chorio_oth</t>
  </si>
  <si>
    <t>deliveryCesareanType</t>
  </si>
  <si>
    <t>Type of cesarean delivery</t>
  </si>
  <si>
    <t>delivery_cesarean_type</t>
  </si>
  <si>
    <t>cesarean</t>
  </si>
  <si>
    <t>emergencyCsection</t>
  </si>
  <si>
    <t>Energency C-section</t>
  </si>
  <si>
    <t>emergency_csec</t>
  </si>
  <si>
    <t>deliveryCesareanTypeOtherText</t>
  </si>
  <si>
    <t>Description of other type of cesarean delivery</t>
  </si>
  <si>
    <t>delivery_cesarean_type_other_text</t>
  </si>
  <si>
    <t>other_cesarean</t>
  </si>
  <si>
    <t>laborSecondStageDuration</t>
  </si>
  <si>
    <t>Second stage of labor duration, if known</t>
  </si>
  <si>
    <t>labor_second_stage_duration</t>
  </si>
  <si>
    <t>second_stage</t>
  </si>
  <si>
    <t>deliveryComplication</t>
  </si>
  <si>
    <t>Complications at delivery</t>
  </si>
  <si>
    <t>delivery_complication</t>
  </si>
  <si>
    <t>complications_at_delivery</t>
  </si>
  <si>
    <t>deliveryComplicationOtherText</t>
  </si>
  <si>
    <t>Other complication details</t>
  </si>
  <si>
    <t>delivery_complication_other_text</t>
  </si>
  <si>
    <t>oth_delivery_complication</t>
  </si>
  <si>
    <t>meconiumInAmnioticFluid</t>
  </si>
  <si>
    <t>Was there meconium in the amniotic fluid?</t>
  </si>
  <si>
    <t>meconium_in_amniotic_fluid</t>
  </si>
  <si>
    <t>meconium</t>
  </si>
  <si>
    <t>infantSuctionForMeconium</t>
  </si>
  <si>
    <t>Was the infant intubated and suctioned for meconium?</t>
  </si>
  <si>
    <t>infant_suction_for_meconium</t>
  </si>
  <si>
    <t>meconium_suction</t>
  </si>
  <si>
    <t>Neonatal encephalopathy level type</t>
  </si>
  <si>
    <t>hieseverity</t>
  </si>
  <si>
    <t>date_of_birth</t>
  </si>
  <si>
    <t>time_of_birth</t>
  </si>
  <si>
    <t>Birth weight child value</t>
  </si>
  <si>
    <t>inf_birthwt</t>
  </si>
  <si>
    <t>BW_g</t>
  </si>
  <si>
    <t>birth_weight</t>
  </si>
  <si>
    <t>Birth length child value</t>
  </si>
  <si>
    <t>birth_length</t>
  </si>
  <si>
    <t>Birth head circumference value</t>
  </si>
  <si>
    <t>inf_headcirc</t>
  </si>
  <si>
    <t>HC_birth</t>
  </si>
  <si>
    <t>birth_hc</t>
  </si>
  <si>
    <t>ma_gest_age</t>
  </si>
  <si>
    <t>Gestational age value</t>
  </si>
  <si>
    <t>inf_gestage</t>
  </si>
  <si>
    <t>GA_weeks</t>
  </si>
  <si>
    <t>gestionatal_age_weeks</t>
  </si>
  <si>
    <t>birthGestationalAge_day</t>
  </si>
  <si>
    <t>Gestational age (days)</t>
  </si>
  <si>
    <t>birth_gestational_age_day</t>
  </si>
  <si>
    <t>gestational_age_days</t>
  </si>
  <si>
    <t>Birth sex assigned type</t>
  </si>
  <si>
    <t>sex</t>
  </si>
  <si>
    <t>birthPlace</t>
  </si>
  <si>
    <t>Birth place</t>
  </si>
  <si>
    <t>nd_birthplace</t>
  </si>
  <si>
    <t>APGAR one minute score</t>
  </si>
  <si>
    <t>one</t>
  </si>
  <si>
    <t>apgar_1</t>
  </si>
  <si>
    <t>APGAR five minute score</t>
  </si>
  <si>
    <t>inf_apgar5m</t>
  </si>
  <si>
    <t>five</t>
  </si>
  <si>
    <t>apgar_5</t>
  </si>
  <si>
    <t>APGAR ten minute score</t>
  </si>
  <si>
    <t>inf_apgar10m</t>
  </si>
  <si>
    <t>ten</t>
  </si>
  <si>
    <t>apgar_10</t>
  </si>
  <si>
    <t>apgar_15</t>
  </si>
  <si>
    <t>apgar_20</t>
  </si>
  <si>
    <t>dr_resuscitation</t>
  </si>
  <si>
    <t>inf_chestcomp</t>
  </si>
  <si>
    <t>deliveryPPVDuration_min</t>
  </si>
  <si>
    <t>PPV duration</t>
  </si>
  <si>
    <t>delivery_ppv_duration</t>
  </si>
  <si>
    <t>ppv_duration</t>
  </si>
  <si>
    <t>deliveryChestCompressionDuration_min</t>
  </si>
  <si>
    <t>Duration of chest compressions</t>
  </si>
  <si>
    <t>delivery_chest_compression_duration</t>
  </si>
  <si>
    <t>compressions_duration</t>
  </si>
  <si>
    <t>deliveryEpinephrineRoute</t>
  </si>
  <si>
    <t>Epinephrine route</t>
  </si>
  <si>
    <t>delivery_epinephrine_route</t>
  </si>
  <si>
    <t>epi_route</t>
  </si>
  <si>
    <t>deliveryEpinephrineRouteOtherText</t>
  </si>
  <si>
    <t>Description of other administration of epinephrine</t>
  </si>
  <si>
    <t>delivery_epinephrine_route_other_text</t>
  </si>
  <si>
    <t>epi_route_other</t>
  </si>
  <si>
    <t>inf_resusc</t>
  </si>
  <si>
    <t>lowestPh</t>
  </si>
  <si>
    <t>lowest_ph</t>
  </si>
  <si>
    <t>Pulmonary blood gas type</t>
  </si>
  <si>
    <t>Data collected date and time</t>
  </si>
  <si>
    <t>Pulmonary blood gas pH value</t>
  </si>
  <si>
    <t>Pulmonary blood gas partial pressure carbon dioxide value</t>
  </si>
  <si>
    <t>Pulmonary blood gas partial pressure oxygen value</t>
  </si>
  <si>
    <t>Pulmonary blood gas bicarbonate  value</t>
  </si>
  <si>
    <t>Pulmonary blood gas base excess value</t>
  </si>
  <si>
    <t>bloodGasPHMin</t>
  </si>
  <si>
    <t>infant lowest pH (cordBloodGas and firstPostnatalBloodGas)</t>
  </si>
  <si>
    <t>inf_lowestph</t>
  </si>
  <si>
    <t>bloodGasBaseDeficitMin_mEqPerL</t>
  </si>
  <si>
    <t>infant worst BD (cordBloodGas and firstPostnatalBloodGas)</t>
  </si>
  <si>
    <t>inf_worstbase</t>
  </si>
  <si>
    <t>target_treatment_temperature</t>
  </si>
  <si>
    <t>before_baseline_cool_initiate</t>
  </si>
  <si>
    <t>before_baseline_coolby_ice_gel_pack</t>
  </si>
  <si>
    <t>before_baseline_cool_passively</t>
  </si>
  <si>
    <t>passive_cooling</t>
  </si>
  <si>
    <t>pre_CoolPassivelyLocation</t>
  </si>
  <si>
    <t>Location passive cooling initiated</t>
  </si>
  <si>
    <t>before_baseline_cool_clinically</t>
  </si>
  <si>
    <t>before_baseline_cool_initiate_date</t>
  </si>
  <si>
    <t>before_baseline_cool_initiate_time</t>
  </si>
  <si>
    <t>before_baseline_after_overshoot_reach33p5c</t>
  </si>
  <si>
    <t>before_baseline_after_overshoot_reach33p5c_date</t>
  </si>
  <si>
    <t>before_baseline_after_overshoot_reach33p5c_time</t>
  </si>
  <si>
    <t>before_baseline_temperature_min_date</t>
  </si>
  <si>
    <t>before_baseline_temperature_min_time</t>
  </si>
  <si>
    <t>before_baseline_skin_temperature_min</t>
  </si>
  <si>
    <t>Temperature measurement</t>
  </si>
  <si>
    <t>before_baseline_axillary_temperature_min</t>
  </si>
  <si>
    <t>before_baseline_esophageal_temperature_min</t>
  </si>
  <si>
    <t>before_baseline_servo_set_min</t>
  </si>
  <si>
    <t>before_baseline_temperature_max_date</t>
  </si>
  <si>
    <t>before_baseline_temperature_max_time</t>
  </si>
  <si>
    <t>before_baseline_skin_temperature_max</t>
  </si>
  <si>
    <t>before_baseline_axillary_temperature_max</t>
  </si>
  <si>
    <t>before_baseline_esophageal_temperature_max</t>
  </si>
  <si>
    <t>before_baseline_servo_set_max</t>
  </si>
  <si>
    <t>before_baseline_cardio_date</t>
  </si>
  <si>
    <t>before_baseline_cardio_time</t>
  </si>
  <si>
    <t>before_baseline_cardio_systolic_blood_pressure</t>
  </si>
  <si>
    <t>Blood pressure systolic measurement</t>
  </si>
  <si>
    <t>before_baseline_cardio_diastolic_blood_pressure</t>
  </si>
  <si>
    <t>Blood pressure diastolic measurement</t>
  </si>
  <si>
    <t>before_baseline_cardio_heart_rate</t>
  </si>
  <si>
    <t>Heart rate</t>
  </si>
  <si>
    <t>before_baseline_cardio_volume_expand</t>
  </si>
  <si>
    <t>before_baseline_cardio_inotropic_agent</t>
  </si>
  <si>
    <t>before_baseline_cardio_blood_transfusion</t>
  </si>
  <si>
    <t>before_baseline_cardio_platelets</t>
  </si>
  <si>
    <t>before_baseline_respiratory_date</t>
  </si>
  <si>
    <t>before_baseline_respiratory_time</t>
  </si>
  <si>
    <t>before_baseline_respiratory_support_type</t>
  </si>
  <si>
    <t>Respiratory support device type</t>
  </si>
  <si>
    <t>before_baseline_respiratory_fio2</t>
  </si>
  <si>
    <t>Pulmonary gas exchange fraction of inspired oxygen value</t>
  </si>
  <si>
    <t>before_baseline_respiratory_rate_hz</t>
  </si>
  <si>
    <t>Respiratory rate</t>
  </si>
  <si>
    <t>before_baseline_respiratory_pip_cmh2o</t>
  </si>
  <si>
    <t>Pulmonary function maximal inspiratory pressure (MIP) result value</t>
  </si>
  <si>
    <t>before_baseline_respiratory_map_cmh2o</t>
  </si>
  <si>
    <t>before_baseline_respiratory_peep_cmh2o</t>
  </si>
  <si>
    <t>Respiratory positive end-expiratory pressure expiratory positive airway pressure value</t>
  </si>
  <si>
    <t>before_baseline_blood_gas_date</t>
  </si>
  <si>
    <t>before_baseline_blood_gas_time</t>
  </si>
  <si>
    <t>before_baseline_blood_gas_src</t>
  </si>
  <si>
    <t>before_baseline_blood_gas_ph</t>
  </si>
  <si>
    <t>before_baseline_blood_gas_pco2_mmhg</t>
  </si>
  <si>
    <t>before_baseline_blood_gas_po2_mmhg</t>
  </si>
  <si>
    <t>before_baseline_blood_gas_hco3_meqperl</t>
  </si>
  <si>
    <t>before_baseline_blood_gas_base_deficit</t>
  </si>
  <si>
    <t>before_baseline_blood_gas_ph_correct</t>
  </si>
  <si>
    <t>before_baseline_blood_gas_pco2_mmhg_correct</t>
  </si>
  <si>
    <t>before_baseline_blood_gas_po2_mmhg_correct</t>
  </si>
  <si>
    <t>before_baseline_blood_gas_hco3_meqperl_correct</t>
  </si>
  <si>
    <t>before_baseline_blood_gas_base_deficit_correct</t>
  </si>
  <si>
    <t>before_baseline_hematology</t>
  </si>
  <si>
    <t>before_baseline_hematology_date</t>
  </si>
  <si>
    <t>before_baseline_hematology_time</t>
  </si>
  <si>
    <t>before_baseline_hematology_wbc</t>
  </si>
  <si>
    <t>Laboratory procedure total white blood cell value</t>
  </si>
  <si>
    <t>before_baseline_hematology_hemoglobin</t>
  </si>
  <si>
    <t>Laboratory procedure hemoglobin value</t>
  </si>
  <si>
    <t>before_baseline_hematology_polymorph_neutrophils_differential_count</t>
  </si>
  <si>
    <t>Laboratory procedure percent neutrophils value</t>
  </si>
  <si>
    <t>before_baseline_hematology_monocytes</t>
  </si>
  <si>
    <t>Laboratory procedure percent monocytes value</t>
  </si>
  <si>
    <t>before_baseline_hematology_lymphocytes</t>
  </si>
  <si>
    <t>Laboratory procedure percent lymphocytes value</t>
  </si>
  <si>
    <t>before_baseline_hematology_platelet_count</t>
  </si>
  <si>
    <t>before_baseline_hematology_pt</t>
  </si>
  <si>
    <t>before_baseline_hematology_ptt</t>
  </si>
  <si>
    <t>before_baseline_positive_culture</t>
  </si>
  <si>
    <t>before_baseline_positive_culture_src</t>
  </si>
  <si>
    <t>before_baseline_positive_culture_date</t>
  </si>
  <si>
    <t>before_baseline_positive_culture_time</t>
  </si>
  <si>
    <t>before_baseline_positive_culture_organism_code1</t>
  </si>
  <si>
    <t>before_baseline_positive_culture_organism_code2</t>
  </si>
  <si>
    <t>before_baseline_positive_culture_organism_code3</t>
  </si>
  <si>
    <t>before_baseline_antibiotics</t>
  </si>
  <si>
    <t>before_baseline_antibiotics_code1</t>
  </si>
  <si>
    <t>before_baseline_antibiotics_code2</t>
  </si>
  <si>
    <t>before_baseline_antibiotics_code3</t>
  </si>
  <si>
    <t>before_baseline_other_med_target_date</t>
  </si>
  <si>
    <t>before_baseline_other_med_target_time</t>
  </si>
  <si>
    <t>before_baseline_anticonvulsants</t>
  </si>
  <si>
    <t>before_baseline_anticonvulsants1</t>
  </si>
  <si>
    <t>before_baseline_anticonvulsants2</t>
  </si>
  <si>
    <t>before_baseline_anticonvulsants3</t>
  </si>
  <si>
    <t>before_baseline_analgesics</t>
  </si>
  <si>
    <t>before_baseline_analgesics_sedatives1</t>
  </si>
  <si>
    <t>before_baseline_analgesics_sedatives2</t>
  </si>
  <si>
    <t>before_baseline_analgesics_sedatives3</t>
  </si>
  <si>
    <t>before_baseline_antipyretics</t>
  </si>
  <si>
    <t>before_baseline_antipyretics1</t>
  </si>
  <si>
    <t>before_baseline_antipyretics2</t>
  </si>
  <si>
    <t>before_baseline_antipyretics3</t>
  </si>
  <si>
    <t>before_baseline_paralytics</t>
  </si>
  <si>
    <t>before_baseline_paralytics1</t>
  </si>
  <si>
    <t>before_baseline_paralytics2</t>
  </si>
  <si>
    <t>before_baseline_paralytics3</t>
  </si>
  <si>
    <t>before_baseline_other_med_fluid_intake</t>
  </si>
  <si>
    <t>before_baseline_other_med_urine_output</t>
  </si>
  <si>
    <t>before_baseline_head_sonogram</t>
  </si>
  <si>
    <t>Imaging modality type</t>
  </si>
  <si>
    <t>before_baseline_head_sonogram_date</t>
  </si>
  <si>
    <t>Imaging study date and time</t>
  </si>
  <si>
    <t>before_baseline_head_sonogram_time</t>
  </si>
  <si>
    <t>before_baseline_head_sonogram_result_a</t>
  </si>
  <si>
    <t>Imaging brain assessment result</t>
  </si>
  <si>
    <t>before_baseline_head_sonogram_result_b</t>
  </si>
  <si>
    <t>before_baseline_head_sonogram_result_c</t>
  </si>
  <si>
    <t>before_baseline_head_sonogram_result_d</t>
  </si>
  <si>
    <t>before_baseline_head_sonogram_result_e</t>
  </si>
  <si>
    <t>before_baseline_head_sonogram_result_f</t>
  </si>
  <si>
    <t>before_baseline_head_sonogram_result_g</t>
  </si>
  <si>
    <t>before_baseline_head_sonogram_result_h</t>
  </si>
  <si>
    <t>before_baseline_head_sonogram_result_text</t>
  </si>
  <si>
    <t>before_baseline_head_ct</t>
  </si>
  <si>
    <t>before_baseline_head_ct_date</t>
  </si>
  <si>
    <t>before_baseline_head_ct_time</t>
  </si>
  <si>
    <t>before_baseline_head_ct_result_a</t>
  </si>
  <si>
    <t>before_baseline_head_ct_result_b</t>
  </si>
  <si>
    <t>before_baseline_head_ct_result_c</t>
  </si>
  <si>
    <t>before_baseline_head_ct_result_d</t>
  </si>
  <si>
    <t>before_baseline_head_ct_result_e</t>
  </si>
  <si>
    <t>before_baseline_head_ct_result_f</t>
  </si>
  <si>
    <t>before_baseline_head_ct_result_g</t>
  </si>
  <si>
    <t>before_baseline_head_ct_result_h</t>
  </si>
  <si>
    <t>before_baseline_head_ct_result_text</t>
  </si>
  <si>
    <t>before_baseline_brain_mri</t>
  </si>
  <si>
    <t>before_baseline_brain_mri_date</t>
  </si>
  <si>
    <t>before_baseline_brain_mri_time</t>
  </si>
  <si>
    <t>before_baseline_brain_mri_result_a</t>
  </si>
  <si>
    <t>before_baseline_brain_mri_result_b</t>
  </si>
  <si>
    <t>before_baseline_brain_mri_result_c</t>
  </si>
  <si>
    <t>before_baseline_brain_mri_result_d</t>
  </si>
  <si>
    <t>before_baseline_brain_mri_result_e</t>
  </si>
  <si>
    <t>before_baseline_brain_mri_result_f</t>
  </si>
  <si>
    <t>before_baseline_brain_mri_result_g</t>
  </si>
  <si>
    <t>before_baseline_brain_mri_result_h</t>
  </si>
  <si>
    <t>before_baseline_brain_mri_result_text</t>
  </si>
  <si>
    <t>screen_neuro_exam</t>
  </si>
  <si>
    <t>screen_no_neuro_exam_reason</t>
  </si>
  <si>
    <t>screen_neuro_exam_sign_moderate_severe_hie3category</t>
  </si>
  <si>
    <t>screen_neuro_exam_level_consciousness</t>
  </si>
  <si>
    <t>Neonatal level of consciousness type</t>
  </si>
  <si>
    <t>inc_enceph_loc</t>
  </si>
  <si>
    <t>screen_neuro_exam_spontaneous_activity</t>
  </si>
  <si>
    <t>inc_enceph_loa</t>
  </si>
  <si>
    <t>screen_neuro_exam_posture</t>
  </si>
  <si>
    <t>inc_enceph_posture</t>
  </si>
  <si>
    <t>screen_neuro_exam_tone</t>
  </si>
  <si>
    <t>inc_enceph_muscletone</t>
  </si>
  <si>
    <t>screen_neuro_exam_suck</t>
  </si>
  <si>
    <t>inc_enceph_suck</t>
  </si>
  <si>
    <t>screen_neuro_exam_moro</t>
  </si>
  <si>
    <t>inc_enceph_moro</t>
  </si>
  <si>
    <t>screen_neuro_exam_pupils</t>
  </si>
  <si>
    <t>inc_enceph_pupils</t>
  </si>
  <si>
    <t>screen_neuro_exam_heart_rate</t>
  </si>
  <si>
    <t>screen_neuro_exam_respiration</t>
  </si>
  <si>
    <t>inc_enceph_respstatus</t>
  </si>
  <si>
    <t>screen_neuro_exam_date</t>
  </si>
  <si>
    <t>screen_neuro_exam_time</t>
  </si>
  <si>
    <t>sarnat_adminage</t>
  </si>
  <si>
    <t>screen_neuro_exam_sedate</t>
  </si>
  <si>
    <t>screen_seizure</t>
  </si>
  <si>
    <t>Seizure indicator</t>
  </si>
  <si>
    <t>Treatment</t>
  </si>
  <si>
    <t>firstDoseDate</t>
  </si>
  <si>
    <t>firstDoseTime</t>
  </si>
  <si>
    <t>hours2firstdose</t>
  </si>
  <si>
    <t>temperature_interval</t>
  </si>
  <si>
    <t>temperature_interval_no_form</t>
  </si>
  <si>
    <t>HEAL: only 1st time slot with time-info.</t>
  </si>
  <si>
    <t>hours2coolingtarget</t>
  </si>
  <si>
    <t>skin_temperature</t>
  </si>
  <si>
    <t>axillary_temperature</t>
  </si>
  <si>
    <t>esophageal_temperature</t>
  </si>
  <si>
    <t>blanket_temperature</t>
  </si>
  <si>
    <t>servo_set_temperature</t>
  </si>
  <si>
    <t>temperatureMin_C</t>
  </si>
  <si>
    <t>HEAL: repeated 0-4</t>
  </si>
  <si>
    <t>cooling_lo_temp0</t>
  </si>
  <si>
    <t>temperatureMax_C</t>
  </si>
  <si>
    <t>cooling_hi_temp0</t>
  </si>
  <si>
    <t>temperatureMaxMethod</t>
  </si>
  <si>
    <t>cooling_hi_temp0_method</t>
  </si>
  <si>
    <t>cardio_interval</t>
  </si>
  <si>
    <t>bp_dol</t>
  </si>
  <si>
    <t>cardio_systolic_blood_pressure</t>
  </si>
  <si>
    <t>cardio_diastolic_blood_pressure</t>
  </si>
  <si>
    <t>cardio_heart_rate</t>
  </si>
  <si>
    <t>cardioSystolicBloodPressureMin_mmHg</t>
  </si>
  <si>
    <t>bp_lowsys</t>
  </si>
  <si>
    <t>cardioDiastolicBloodPressureMin_mmHg</t>
  </si>
  <si>
    <t>bp_lowdia</t>
  </si>
  <si>
    <t>cardioSystolicBloodPressureMax_mmHg</t>
  </si>
  <si>
    <t>bp_highsys</t>
  </si>
  <si>
    <t>cardioDiastolicBloodPressureMax_mmHg</t>
  </si>
  <si>
    <t>bp_highdia</t>
  </si>
  <si>
    <t>respiratory_interval</t>
  </si>
  <si>
    <t>respiratoryIntubation</t>
  </si>
  <si>
    <t>If the patient was intubated at anytime in the NICU</t>
  </si>
  <si>
    <t>ETT_NICU</t>
  </si>
  <si>
    <t>blood_gas_interval</t>
  </si>
  <si>
    <t>blood_gas_base_deficit</t>
  </si>
  <si>
    <t>blood_gas_pco2_mmhg_correct</t>
  </si>
  <si>
    <t>blood_gas_po2_mmhg_correct</t>
  </si>
  <si>
    <t>blood_gas_hco3_meqperl_correct</t>
  </si>
  <si>
    <t>blood_gas_base_deficit_correct</t>
  </si>
  <si>
    <t>hematology_interval</t>
  </si>
  <si>
    <t>hematology_pt</t>
  </si>
  <si>
    <t>hematology_ptt</t>
  </si>
  <si>
    <t>Laboratory procedure hematocrit value</t>
  </si>
  <si>
    <t>blood_value_bun_mgperdl_baseline</t>
  </si>
  <si>
    <t>Laboratory procedure BUN value</t>
  </si>
  <si>
    <t>blood_value_bun_mgperdl_baseline_date</t>
  </si>
  <si>
    <t>blood_value_creatinine_mgperdl_baseline</t>
  </si>
  <si>
    <t>Laboratory procedure creatinine value</t>
  </si>
  <si>
    <t>blood_value_creatinine_mgperdl_baseline_date</t>
  </si>
  <si>
    <t>blood_value_ast_sgot_uperl_baseline</t>
  </si>
  <si>
    <t>blood_value_ast_sgot_uperl_baseline_date</t>
  </si>
  <si>
    <t>blood_value_alt_sgpt_uperl_baseline</t>
  </si>
  <si>
    <t>blood_value_alt_sgpt_uperl_baseline_date</t>
  </si>
  <si>
    <t>blood_value_total_bilirubin_mgperdl_baseline</t>
  </si>
  <si>
    <t>blood_value_total_bilirubin_mgperdl_baseline_date</t>
  </si>
  <si>
    <t>blood_value_hco3_meqperl_min</t>
  </si>
  <si>
    <t>blood_value_hco3_meqperl_min_date</t>
  </si>
  <si>
    <t>blood_value_serum_na_meqperl_min</t>
  </si>
  <si>
    <t>blood_value_serum_na_meqperl_min_date</t>
  </si>
  <si>
    <t>blood_value_serum_k_meqperl_min</t>
  </si>
  <si>
    <t>blood_value_serum_k_meqperl_min_date</t>
  </si>
  <si>
    <t>blood_value_cl_meqperl_min</t>
  </si>
  <si>
    <t>blood_value_cl_meqperl_min_date</t>
  </si>
  <si>
    <t>blood_value_glucose_mgperdl_min</t>
  </si>
  <si>
    <t>Laboratory procedure random glucose measurement</t>
  </si>
  <si>
    <t>blood_value_glucose_mgperdl_min_date</t>
  </si>
  <si>
    <t>blood_value_total_ca_mgperdl_min</t>
  </si>
  <si>
    <t>blood_value_total_ca_mgperdl_min_date</t>
  </si>
  <si>
    <t>blood_value_ion_ca_mgperdl_min</t>
  </si>
  <si>
    <t>blood_value_ion_ca_mgperdl_min_date</t>
  </si>
  <si>
    <t>blood_value_ast_sgot_uperl_min</t>
  </si>
  <si>
    <t>blood_value_ast_sgot_uperl_min_date</t>
  </si>
  <si>
    <t>blood_value_alt_sgpt_uperl_min</t>
  </si>
  <si>
    <t>blood_value_alt_sgpt_uperl_min_date</t>
  </si>
  <si>
    <t>blood_value_total_bilirubin_mgperdl_min</t>
  </si>
  <si>
    <t>blood_value_total_bilirubin_mgperdl_min_date</t>
  </si>
  <si>
    <t>blood_value_base_deficit_meqperl_max</t>
  </si>
  <si>
    <t>blood_value_base_deficit_meqperl_max_date</t>
  </si>
  <si>
    <t>blood_value_serum_na_meqperl_max</t>
  </si>
  <si>
    <t>blood_value_serum_na_meqperl_max_date</t>
  </si>
  <si>
    <t>blood_value_serum_k_meqperl_max</t>
  </si>
  <si>
    <t>blood_value_serum_k_meqperl_max_date</t>
  </si>
  <si>
    <t>blood_value_cl_meqperl_max</t>
  </si>
  <si>
    <t>blood_value_cl_meqperl_max_date</t>
  </si>
  <si>
    <t>blood_value_bun_mgperdl_max</t>
  </si>
  <si>
    <t>blood_value_bun_mgperdl_max_date</t>
  </si>
  <si>
    <t>blood_value_creatinine_mgperdl_max</t>
  </si>
  <si>
    <t>blood_value_creatinine_mgperdl_max_date</t>
  </si>
  <si>
    <t>blood_value_glucose_mgperdl_max</t>
  </si>
  <si>
    <t>blood_value_glucose_mgperdl_max_date</t>
  </si>
  <si>
    <t>blood_value_total_ca_mgperdl_max</t>
  </si>
  <si>
    <t>blood_value_total_ca_mgperdl_max_date</t>
  </si>
  <si>
    <t>blood_value_ion_ca_mgperdl_max</t>
  </si>
  <si>
    <t>blood_value_ion_ca_mgperdl_max_date</t>
  </si>
  <si>
    <t>blood_value_ast_sgot_uperl_max</t>
  </si>
  <si>
    <t>blood_value_ast_sgot_uperl_max_date</t>
  </si>
  <si>
    <t>blood_value_alt_sgpt_uperl_max</t>
  </si>
  <si>
    <t>blood_value_alt_sgpt_uperl_max_date</t>
  </si>
  <si>
    <t>blood_value_total_bilirubin_mgperdl_max</t>
  </si>
  <si>
    <t>blood_value_total_bilirubin_mgperdl_max_date</t>
  </si>
  <si>
    <t>inf_specimen</t>
  </si>
  <si>
    <t>inf_dol</t>
  </si>
  <si>
    <t>inf_namedorganism</t>
  </si>
  <si>
    <t>positiveCultureOrganismType</t>
  </si>
  <si>
    <t>inf_organism</t>
  </si>
  <si>
    <t>other_med_interval</t>
  </si>
  <si>
    <t>other_med_fluid_intake</t>
  </si>
  <si>
    <t>other_med_urine_output</t>
  </si>
  <si>
    <t>imaging_interval</t>
  </si>
  <si>
    <t>head_sonogram_result_a</t>
  </si>
  <si>
    <t>head_sonogram_result_b</t>
  </si>
  <si>
    <t>head_sonogram_result_c</t>
  </si>
  <si>
    <t>head_sonogram_result_d</t>
  </si>
  <si>
    <t>head_sonogram_result_e</t>
  </si>
  <si>
    <t>head_sonogram_result_f</t>
  </si>
  <si>
    <t>head_sonogram_result_g</t>
  </si>
  <si>
    <t>head_sonogram_result_h</t>
  </si>
  <si>
    <t>head_ct_result_a</t>
  </si>
  <si>
    <t>head_ct_result_b</t>
  </si>
  <si>
    <t>head_ct_result_c</t>
  </si>
  <si>
    <t>head_ct_result_d</t>
  </si>
  <si>
    <t>head_ct_result_e</t>
  </si>
  <si>
    <t>head_ct_result_f</t>
  </si>
  <si>
    <t>head_ct_result_g</t>
  </si>
  <si>
    <t>head_ct_result_h</t>
  </si>
  <si>
    <t>brain_mri_result_a</t>
  </si>
  <si>
    <t>brain_mri_result_b</t>
  </si>
  <si>
    <t>brain_mri_result_c</t>
  </si>
  <si>
    <t>brain_mri_result_d</t>
  </si>
  <si>
    <t>brain_mri_result_e</t>
  </si>
  <si>
    <t>brain_mri_result_f</t>
  </si>
  <si>
    <t>brain_mri_result_g</t>
  </si>
  <si>
    <t>brain_mri_result_h</t>
  </si>
  <si>
    <t>EEG</t>
  </si>
  <si>
    <t>eegSeizureFractionInMinuteTimeSlot</t>
  </si>
  <si>
    <t>eegSeizureFractionInMinute</t>
  </si>
  <si>
    <t>Minute1
Minute2
...
Minute8640</t>
  </si>
  <si>
    <t>elevated_temp_skin_temperature</t>
  </si>
  <si>
    <t>elevated_temp_axillary_temperature</t>
  </si>
  <si>
    <t>elevated_temp_esophageal_temperature</t>
  </si>
  <si>
    <t>elevated_temp_servo_set</t>
  </si>
  <si>
    <t>elevated_temp_air_temperature</t>
  </si>
  <si>
    <t>fluctuate_temp_skin_temperature</t>
  </si>
  <si>
    <t>fluctuate_temp_axillary_temperature</t>
  </si>
  <si>
    <t>fluctuate_temp_esophageal_temperature</t>
  </si>
  <si>
    <t>fluctuate_temp_blanketrol</t>
  </si>
  <si>
    <t>fluctuate_temp_servo_set</t>
  </si>
  <si>
    <t>SAEIVH</t>
  </si>
  <si>
    <t>ivh_sae</t>
  </si>
  <si>
    <t>SAEIVHOnsetDate</t>
  </si>
  <si>
    <t>ivh_saed</t>
  </si>
  <si>
    <t>SAEIVHBeforeIntervention</t>
  </si>
  <si>
    <t>ivh_sae_b41stdose</t>
  </si>
  <si>
    <t>SAEPulmonaryHypertension</t>
  </si>
  <si>
    <t>pulmhyp_sae</t>
  </si>
  <si>
    <t>SAEPulmonaryHypertensionOnsetDate</t>
  </si>
  <si>
    <t>pulmhyp_saed</t>
  </si>
  <si>
    <t>SAEPulmonaryHypertensionBeforeIntervention</t>
  </si>
  <si>
    <t>pulmhyp_sae_b41d</t>
  </si>
  <si>
    <t>SAEHypertension</t>
  </si>
  <si>
    <t>hypertension_sae</t>
  </si>
  <si>
    <t>SAEHypertensionOnsetDate</t>
  </si>
  <si>
    <t>hypertension_saed</t>
  </si>
  <si>
    <t>SAEHypertensionBeforeIntervention</t>
  </si>
  <si>
    <t>hypertension_sae_b41d</t>
  </si>
  <si>
    <t>SAECardiacExperience</t>
  </si>
  <si>
    <t>cardiac_sae</t>
  </si>
  <si>
    <t>Serious adverse event start date and time</t>
  </si>
  <si>
    <t>cardiac_saed</t>
  </si>
  <si>
    <t>Serious adverse event end date and time</t>
  </si>
  <si>
    <t>Adverse event attribution indicator</t>
  </si>
  <si>
    <t>Adverse event study intervention action taken type</t>
  </si>
  <si>
    <t>Serious adverse event outcome status</t>
  </si>
  <si>
    <t>Serious adverse events comment text</t>
  </si>
  <si>
    <t>SAECardiacExperienceBeforeIntervention</t>
  </si>
  <si>
    <t>cardiac_sae_b41d</t>
  </si>
  <si>
    <t>SAEMVAThrombosis</t>
  </si>
  <si>
    <t>mvathrombosis_sae</t>
  </si>
  <si>
    <t>SAEMVAThrombosisOnsetDate</t>
  </si>
  <si>
    <t>mvathrombosis_saed</t>
  </si>
  <si>
    <t>SAEMVAThrombosisBeforeIntervention</t>
  </si>
  <si>
    <t>mvathrombosis_sae_b41d</t>
  </si>
  <si>
    <t>SAEPolycythemia</t>
  </si>
  <si>
    <t>polycythemia_sae</t>
  </si>
  <si>
    <t>SAEPolycythemiaOnsetDate</t>
  </si>
  <si>
    <t>polycythemia_saed</t>
  </si>
  <si>
    <t>SAEPolycythemiaBeforeIntervention</t>
  </si>
  <si>
    <t>polycythemia_sae_b41d</t>
  </si>
  <si>
    <t>SAEDIC</t>
  </si>
  <si>
    <t>dic_sae</t>
  </si>
  <si>
    <t>SAEDICOnsetDate</t>
  </si>
  <si>
    <t>dic_saed</t>
  </si>
  <si>
    <t>SAEDICBeforeIntervention</t>
  </si>
  <si>
    <t>dic_sae_b41d</t>
  </si>
  <si>
    <t>SAEDeath</t>
  </si>
  <si>
    <t>death_sae</t>
  </si>
  <si>
    <t>death_saed</t>
  </si>
  <si>
    <t>SAEDeathBeforeIntervention</t>
  </si>
  <si>
    <t>death_sae_b41d</t>
  </si>
  <si>
    <t>other_sae</t>
  </si>
  <si>
    <t>other_saed</t>
  </si>
  <si>
    <t>SAEOtherBeforeIntervention</t>
  </si>
  <si>
    <t>other_sae_b41d</t>
  </si>
  <si>
    <t>SAETotal</t>
  </si>
  <si>
    <t>total number of SAE</t>
  </si>
  <si>
    <t>total_sae</t>
  </si>
  <si>
    <t>SAEOne</t>
  </si>
  <si>
    <t>at least 1 SAE</t>
  </si>
  <si>
    <t>one_sae</t>
  </si>
  <si>
    <t>name of the person reporting the protocol violation (ignore)</t>
  </si>
  <si>
    <t>interrupt_restart_esophageal_temperature</t>
  </si>
  <si>
    <t>Discontinuation date</t>
  </si>
  <si>
    <t>Off study intervention prematurely other text</t>
  </si>
  <si>
    <t>post_treat_temperature_interval</t>
  </si>
  <si>
    <t>post_treat_temperature_date</t>
  </si>
  <si>
    <t>post_treat_temperature_time</t>
  </si>
  <si>
    <t>post_treat_skin_temperature</t>
  </si>
  <si>
    <t>post_treat_axillary_temperature_c</t>
  </si>
  <si>
    <t>post_treat_alteration_skin_integrity</t>
  </si>
  <si>
    <t>post_treat_shiver</t>
  </si>
  <si>
    <t>post_treat_blood_value_ast_sgot_uperl</t>
  </si>
  <si>
    <t>post_treat_blood_value_ast_sgot_uperl_date</t>
  </si>
  <si>
    <t>post_treat_blood_value_alt_sgpt_uperl</t>
  </si>
  <si>
    <t>post_treat_blood_value_alt_sgpt_uperl_date</t>
  </si>
  <si>
    <t>post_treat_blood_value_total_bilirubin_mgperdl</t>
  </si>
  <si>
    <t>post_treat_blood_value_total_bilirubin_mgperdl_date</t>
  </si>
  <si>
    <t>post_treat_head_sonogram</t>
  </si>
  <si>
    <t>post_treat_head_sonogram_date</t>
  </si>
  <si>
    <t>post_treat_head_sonogram_time</t>
  </si>
  <si>
    <t>post_treat_head_sonogram_result_a</t>
  </si>
  <si>
    <t>post_treat_head_sonogram_result_b</t>
  </si>
  <si>
    <t>post_treat_head_sonogram_result_c</t>
  </si>
  <si>
    <t>post_treat_head_sonogram_result_d</t>
  </si>
  <si>
    <t>post_treat_head_sonogram_result_e</t>
  </si>
  <si>
    <t>post_treat_head_sonogram_result_f</t>
  </si>
  <si>
    <t>post_treat_head_sonogram_result_g</t>
  </si>
  <si>
    <t>post_treat_head_sonogram_result_h</t>
  </si>
  <si>
    <t>post_treat_head_sonogram_result_text</t>
  </si>
  <si>
    <t>post_treat_head_ct</t>
  </si>
  <si>
    <t>post_treat_head_ct_date</t>
  </si>
  <si>
    <t>post_treat_head_ct_time</t>
  </si>
  <si>
    <t>post_treat_head_ct_result_a</t>
  </si>
  <si>
    <t>post_treat_head_ct_result_b</t>
  </si>
  <si>
    <t>post_treat_head_ct_result_c</t>
  </si>
  <si>
    <t>post_treat_head_ct_result_d</t>
  </si>
  <si>
    <t>post_treat_head_ct_result_e</t>
  </si>
  <si>
    <t>post_treat_head_ct_result_f</t>
  </si>
  <si>
    <t>post_treat_head_ct_result_g</t>
  </si>
  <si>
    <t>post_treat_head_ct_result_h</t>
  </si>
  <si>
    <t>post_treat_head_ct_result_text</t>
  </si>
  <si>
    <t>post_treat_brain_mri</t>
  </si>
  <si>
    <t>post_treat_brain_mri_date</t>
  </si>
  <si>
    <t>post_treat_brain_mri_time</t>
  </si>
  <si>
    <t>post_treat_brain_mri_result_a</t>
  </si>
  <si>
    <t>post_treat_brain_mri_result_b</t>
  </si>
  <si>
    <t>post_treat_brain_mri_result_c</t>
  </si>
  <si>
    <t>post_treat_brain_mri_result_d</t>
  </si>
  <si>
    <t>post_treat_brain_mri_result_e</t>
  </si>
  <si>
    <t>post_treat_brain_mri_result_f</t>
  </si>
  <si>
    <t>post_treat_brain_mri_result_g</t>
  </si>
  <si>
    <t>post_treat_brain_mri_result_h</t>
  </si>
  <si>
    <t>post_treat_brain_mri_result_text</t>
  </si>
  <si>
    <t>post_treat_neuro_exam</t>
  </si>
  <si>
    <t>post_treat_neuro_exam_date</t>
  </si>
  <si>
    <t>Assessment date and time</t>
  </si>
  <si>
    <t>sarnat_dol</t>
  </si>
  <si>
    <t>post_treat_neuro_exam_time</t>
  </si>
  <si>
    <t>post_treat_neuro_exam_level_consciousness</t>
  </si>
  <si>
    <t>sarnat_loc</t>
  </si>
  <si>
    <t>post_treat_neuro_exam_spontaneous_activity</t>
  </si>
  <si>
    <t>sarnat_loa</t>
  </si>
  <si>
    <t>post_treat_neuro_exam_posture</t>
  </si>
  <si>
    <t>sarnat_posture</t>
  </si>
  <si>
    <t>post_treat_neuro_exam_decreased_tone</t>
  </si>
  <si>
    <t>sarnat_muscletone</t>
  </si>
  <si>
    <t>post_treat_neuro_exam_suck</t>
  </si>
  <si>
    <t>sarnat_suck</t>
  </si>
  <si>
    <t>post_treat_neuro_exam_moro</t>
  </si>
  <si>
    <t>sarnat_moro</t>
  </si>
  <si>
    <t>post_treat_neuro_exam_pupils</t>
  </si>
  <si>
    <t>sarnat_pupils</t>
  </si>
  <si>
    <t>post_treat_neuro_exam_heart_rate</t>
  </si>
  <si>
    <t>post_treat_neuro_exam_respiration</t>
  </si>
  <si>
    <t>sarnat_respstatus</t>
  </si>
  <si>
    <t>post_treat_neuro_exam_seizure</t>
  </si>
  <si>
    <t>post_treat_neuro_exam_sedate</t>
  </si>
  <si>
    <t>post_treat_neuro_exam_clonus_sustained</t>
  </si>
  <si>
    <t>post_treat_neuro_exam_fisted_hand</t>
  </si>
  <si>
    <t>post_treat_neuro_exam_abnormal_movement</t>
  </si>
  <si>
    <t>post_treat_neuro_exam_gag_reflex_absent</t>
  </si>
  <si>
    <t>post_treat_neuro_exam_hypertonia</t>
  </si>
  <si>
    <t>post_treat_neuro_exam_asym_tonic_neck_reflex</t>
  </si>
  <si>
    <t>108-132 Hrs Neuro Exam: Name of Examiner:</t>
  </si>
  <si>
    <t>mri_date_create</t>
  </si>
  <si>
    <t>mri_date_complete</t>
  </si>
  <si>
    <t>mri_form_status</t>
  </si>
  <si>
    <t>mri_strength</t>
  </si>
  <si>
    <t>acquired_t1</t>
  </si>
  <si>
    <t>MRIT1All3Planes</t>
  </si>
  <si>
    <t>all_three_planes_t1</t>
  </si>
  <si>
    <t>MRIT1Motion</t>
  </si>
  <si>
    <t>motion_t1</t>
  </si>
  <si>
    <t>MRIT1ProtocolCompliance</t>
  </si>
  <si>
    <t>protocol_compliance_t1</t>
  </si>
  <si>
    <t>MRIT1InPlaneResLess0p98mm</t>
  </si>
  <si>
    <t>noncompliance1_t1_cb</t>
  </si>
  <si>
    <t>MRIT1InPlaneResGreater1p02mm</t>
  </si>
  <si>
    <t>noncompliance2_t1_cb</t>
  </si>
  <si>
    <t>MRIT1SliceThickLess0p98mm</t>
  </si>
  <si>
    <t>noncompliance3_t1_cb</t>
  </si>
  <si>
    <t>MRIT1SliceThickGreater1p02mm</t>
  </si>
  <si>
    <t>noncompliance4_t1_cb</t>
  </si>
  <si>
    <t>MRIT1ReconstructNot1x1x1</t>
  </si>
  <si>
    <t>noncompliance5_t1_cb</t>
  </si>
  <si>
    <t>MRIT1NonComplianceOther</t>
  </si>
  <si>
    <t>noncompliance_other_t1_cb</t>
  </si>
  <si>
    <t>MRIT1NonComplianceOtherText</t>
  </si>
  <si>
    <t>noncompliance_other_t1</t>
  </si>
  <si>
    <t>acquired_t2</t>
  </si>
  <si>
    <t>MRIT2MotionCorrection</t>
  </si>
  <si>
    <t>T2 motion correction?</t>
  </si>
  <si>
    <t>acquiredmc_t2</t>
  </si>
  <si>
    <t>MRIT2Motion</t>
  </si>
  <si>
    <t>motion_t2</t>
  </si>
  <si>
    <t>MRIT2ProtocolCompliance</t>
  </si>
  <si>
    <t>protocol_compliance_t2</t>
  </si>
  <si>
    <t>MRIT2InPlaneResLess0p98mm</t>
  </si>
  <si>
    <t>noncompliance1_t2_cb</t>
  </si>
  <si>
    <t>MRIT2InPlaneResGreater1p02mm</t>
  </si>
  <si>
    <t>noncompliance2_t2_cb</t>
  </si>
  <si>
    <t>MRIT2SliceThickLess0p98mm</t>
  </si>
  <si>
    <t>noncompliance3_t2_cb</t>
  </si>
  <si>
    <t>MRIT2SliceThickGreater1p02mm</t>
  </si>
  <si>
    <t>noncompliance4_t2_cb</t>
  </si>
  <si>
    <t>MRIT2TELess120ms</t>
  </si>
  <si>
    <t>noncompliance5_t2_cb</t>
  </si>
  <si>
    <t>MRIT2Waiver</t>
  </si>
  <si>
    <t>noncompliance6_t2_cb</t>
  </si>
  <si>
    <t>MRIT2NonComplianceOther</t>
  </si>
  <si>
    <t>noncompliance_other_t2_cb</t>
  </si>
  <si>
    <t>MRIT2NonComplianceOtherText</t>
  </si>
  <si>
    <t>noncompliance_other_t2</t>
  </si>
  <si>
    <t>MRIT2Star(?)</t>
  </si>
  <si>
    <t>acquired_t2star</t>
  </si>
  <si>
    <t>MRIDTI(?)</t>
  </si>
  <si>
    <t>acquired_dti</t>
  </si>
  <si>
    <t>MRIDTIProcessed</t>
  </si>
  <si>
    <t>processed_dti</t>
  </si>
  <si>
    <t>MRIDTIMotion</t>
  </si>
  <si>
    <t>motion_dti</t>
  </si>
  <si>
    <t>MRIDTIProtocolCompliance</t>
  </si>
  <si>
    <t>protocol_compliance_dti</t>
  </si>
  <si>
    <t>MRIDTIInPlaneResLess0p98mm</t>
  </si>
  <si>
    <t>noncompliance1_dti_cb</t>
  </si>
  <si>
    <t>MRIDTIInPlaneResGreater1p02mm</t>
  </si>
  <si>
    <t>noncompliance2_dti_cb</t>
  </si>
  <si>
    <t>MRIDTISliceThickLess0p98mm</t>
  </si>
  <si>
    <t>noncompliance3_dti_cb</t>
  </si>
  <si>
    <t>MRIDTISliceThickGreater1p02mm</t>
  </si>
  <si>
    <t>noncompliance4_dti_cb</t>
  </si>
  <si>
    <t>MRIDTIMaxBLess1000</t>
  </si>
  <si>
    <t>noncompliance5_dti_cb</t>
  </si>
  <si>
    <t>MRIDTIMaxBGreater1000</t>
  </si>
  <si>
    <t>noncompliance6_dti_cb</t>
  </si>
  <si>
    <t>MRIDTIWaiver</t>
  </si>
  <si>
    <t>noncompliance7_dti_cb</t>
  </si>
  <si>
    <t>MRIDTINonComplianceOther</t>
  </si>
  <si>
    <t>noncompliance_other_dti_cb</t>
  </si>
  <si>
    <t>mri_cererbal_atrophy</t>
  </si>
  <si>
    <t>mri_cererbal_atrophy_c</t>
  </si>
  <si>
    <t>mri_cererbal_atrophy_global_local</t>
  </si>
  <si>
    <t>mri_cererbal_atrophy_global_local_c</t>
  </si>
  <si>
    <t>mri_cererbal_atrophy_region</t>
  </si>
  <si>
    <t>mri_cererbal_atrophy_qual_assess_cc</t>
  </si>
  <si>
    <t>mri_cererbal_atrophy_qual_assess_cc_c</t>
  </si>
  <si>
    <t>mri_cererbal_atrophy_qual_assess_vd_left</t>
  </si>
  <si>
    <t>mri_cererbal_atrophy_qual_assess_vd_left_c</t>
  </si>
  <si>
    <t>mri_cererbal_atrophy_qual_assess_vd_right</t>
  </si>
  <si>
    <t>mri_cererbal_atrophy_qual_assess_vd_right_c</t>
  </si>
  <si>
    <t>The National Institute of Child Health and Human Development (NICHD) Neonatal Research Network (NRN) classification of neonatal brain injury</t>
  </si>
  <si>
    <t>MRSPWM35LCMVersion</t>
  </si>
  <si>
    <t>lcmversion_pwm35</t>
  </si>
  <si>
    <t>processingdate_pwm35</t>
  </si>
  <si>
    <t>MRSPWM35Field</t>
  </si>
  <si>
    <t>field_pwm35</t>
  </si>
  <si>
    <t>MRSPWM35Type</t>
  </si>
  <si>
    <t>type_pwm35</t>
  </si>
  <si>
    <t>MRSPWM35Flag</t>
  </si>
  <si>
    <t>flag_pwm35</t>
  </si>
  <si>
    <t>MRSPWM35TE</t>
  </si>
  <si>
    <t>te_pwm35</t>
  </si>
  <si>
    <t>MRSPWM35TR</t>
  </si>
  <si>
    <t>tr_pwm35</t>
  </si>
  <si>
    <t>MRSPWM35NS</t>
  </si>
  <si>
    <t>ns_pwm35</t>
  </si>
  <si>
    <t>MRSPWM35Volume</t>
  </si>
  <si>
    <t>volume_pwm35</t>
  </si>
  <si>
    <t>MRSPWM35FWHM</t>
  </si>
  <si>
    <t>fwhm_pwm35</t>
  </si>
  <si>
    <t>MRSPWM35SNR</t>
  </si>
  <si>
    <t>snr_pwm35</t>
  </si>
  <si>
    <t>MRSPWM35Phase0</t>
  </si>
  <si>
    <t>phasezero_pwm35</t>
  </si>
  <si>
    <t>MRSPWM35Phase1</t>
  </si>
  <si>
    <t>phase1st_pwm35</t>
  </si>
  <si>
    <t>MRSPWM35DataShift</t>
  </si>
  <si>
    <t>data_shift_pwm35</t>
  </si>
  <si>
    <t>MRSPWM35APOffCenter</t>
  </si>
  <si>
    <t>ap_off_center_pwm35</t>
  </si>
  <si>
    <t>MRSPWM35LROffCenter</t>
  </si>
  <si>
    <t>lr_off_center_pwm35</t>
  </si>
  <si>
    <t>MRSPWM35CCOffCenter</t>
  </si>
  <si>
    <t>cc_off_center_pwm35</t>
  </si>
  <si>
    <t>MRSPWM35FirstImageRaw</t>
  </si>
  <si>
    <t>firstimagraw_pwm35</t>
  </si>
  <si>
    <t>MRSPWM35ABSFirstImageRaw</t>
  </si>
  <si>
    <t>absfirstimagraw_pwm35</t>
  </si>
  <si>
    <t>MRSPWM35LacToTNAA</t>
  </si>
  <si>
    <t>lac_2_tnaa_pwm35</t>
  </si>
  <si>
    <t>MRSPWM35TNAAToTCR</t>
  </si>
  <si>
    <t>tnaa_2_tcr_pwm35</t>
  </si>
  <si>
    <t>MRSPWM35LacLip13ToTNAA</t>
  </si>
  <si>
    <t>laclip13_2_tnaa_pwm35</t>
  </si>
  <si>
    <t>MRSPWM35NAA</t>
  </si>
  <si>
    <t>naa_pwm35</t>
  </si>
  <si>
    <t>MRSPWM35NAASD</t>
  </si>
  <si>
    <t>naa_sd_pwm35</t>
  </si>
  <si>
    <t>MRSPWM35NAAG</t>
  </si>
  <si>
    <t>naag_pwm35</t>
  </si>
  <si>
    <t>MRSPWM35NAAGSD</t>
  </si>
  <si>
    <t>naag_sd_pwm35</t>
  </si>
  <si>
    <t>MRSPWM35TNAA</t>
  </si>
  <si>
    <t>tnaa_pwm35</t>
  </si>
  <si>
    <t>MRSPWM35TNAASD</t>
  </si>
  <si>
    <t>tnaa_sd_pwm35</t>
  </si>
  <si>
    <t>MRSPWM35Lac</t>
  </si>
  <si>
    <t>lac_pwm35</t>
  </si>
  <si>
    <t>MRSPWM35LacSD</t>
  </si>
  <si>
    <t>lac_sd_pwm35</t>
  </si>
  <si>
    <t>MRSPWM35LacLip13</t>
  </si>
  <si>
    <t>laclip13_pwm35</t>
  </si>
  <si>
    <t>MRSPWM35LacLip13SD</t>
  </si>
  <si>
    <t>laclip13_sd_pwm35</t>
  </si>
  <si>
    <t>MRSPWM35Cr</t>
  </si>
  <si>
    <t>cr_pwm35</t>
  </si>
  <si>
    <t>MRSPWM35CrSD</t>
  </si>
  <si>
    <t>cr_sd_pwm35</t>
  </si>
  <si>
    <t>MRSPWM35PCr</t>
  </si>
  <si>
    <t>pcr_pwm35</t>
  </si>
  <si>
    <t>MRSPWM35PCrSD</t>
  </si>
  <si>
    <t>pcr_sd_pwm35</t>
  </si>
  <si>
    <t>MRSPWM35TCr</t>
  </si>
  <si>
    <t>tcr_pwm35</t>
  </si>
  <si>
    <t>MRSPWM35TCrSD</t>
  </si>
  <si>
    <t>tcr_sd_pwm35</t>
  </si>
  <si>
    <t>MRSPWM35GPC</t>
  </si>
  <si>
    <t>gpc_pwm35</t>
  </si>
  <si>
    <t>MRSPWM35GPCSD</t>
  </si>
  <si>
    <t>gpc_sd_pwm35</t>
  </si>
  <si>
    <t>MRSPWM35PCh</t>
  </si>
  <si>
    <t>pch_pwm35</t>
  </si>
  <si>
    <t>MRSPWM35PChSD</t>
  </si>
  <si>
    <t>pch_sd_pwm35</t>
  </si>
  <si>
    <t>MRSPWM35Ins</t>
  </si>
  <si>
    <t>ins_pwm35</t>
  </si>
  <si>
    <t>MRSPWM35InsSD</t>
  </si>
  <si>
    <t>ins_sd_pwm35</t>
  </si>
  <si>
    <t>MRSPWM35Glc</t>
  </si>
  <si>
    <t>glc_pwm35</t>
  </si>
  <si>
    <t>MRSPWM35GlcSD</t>
  </si>
  <si>
    <t>glc_sd_pwm35</t>
  </si>
  <si>
    <t>MRSPWM35Gln</t>
  </si>
  <si>
    <t>gln_pwm35</t>
  </si>
  <si>
    <t>MRSPWM35GlnSD</t>
  </si>
  <si>
    <t>gln_sd_pwm35</t>
  </si>
  <si>
    <t>MRSPWM35Glu</t>
  </si>
  <si>
    <t>glu_pwm35</t>
  </si>
  <si>
    <t>MRSPWM35GluSD</t>
  </si>
  <si>
    <t>glu_sd_pwm35</t>
  </si>
  <si>
    <t>MRSPWM35Glx</t>
  </si>
  <si>
    <t>glx_pwm35</t>
  </si>
  <si>
    <t>MRSPWM35GlxSD</t>
  </si>
  <si>
    <t>glx_sd_pwm35</t>
  </si>
  <si>
    <t>MRSPWM35Glyc</t>
  </si>
  <si>
    <t>glyc_pwm35</t>
  </si>
  <si>
    <t>MRSPWM35GlycSD</t>
  </si>
  <si>
    <t>glyc_sd_pwm35</t>
  </si>
  <si>
    <t>MRSPWM35Tau</t>
  </si>
  <si>
    <t>tau_pwm35</t>
  </si>
  <si>
    <t>MRSPWM35TauSD</t>
  </si>
  <si>
    <t>tau_sd_pwm35</t>
  </si>
  <si>
    <t>MRSPWM35Cit</t>
  </si>
  <si>
    <t>cit_pwm35</t>
  </si>
  <si>
    <t>MRSPWM35CitSD</t>
  </si>
  <si>
    <t>cit_sd_pwm35</t>
  </si>
  <si>
    <t>MRSPWM35HG</t>
  </si>
  <si>
    <t>hg_pwm35</t>
  </si>
  <si>
    <t>MRSPWM35HGSD</t>
  </si>
  <si>
    <t>hg_sd_pwm35</t>
  </si>
  <si>
    <t>MRSPWM35AcAc22</t>
  </si>
  <si>
    <t>acac22_pwm35</t>
  </si>
  <si>
    <t>MRSPWM35AcAc22SD</t>
  </si>
  <si>
    <t>acac22_sd_pwm35</t>
  </si>
  <si>
    <t>MRSPWM35Ala</t>
  </si>
  <si>
    <t>ala_pwm35</t>
  </si>
  <si>
    <t>MRSPWM35AlaSD</t>
  </si>
  <si>
    <t>ala_sd_pwm35</t>
  </si>
  <si>
    <t>MRSPWM35Acn</t>
  </si>
  <si>
    <t>acn_pwm35</t>
  </si>
  <si>
    <t>MRSPWM35AcnSD</t>
  </si>
  <si>
    <t>acn_sd_pwm35</t>
  </si>
  <si>
    <t>MRSPWM35Act</t>
  </si>
  <si>
    <t>act_pwm35</t>
  </si>
  <si>
    <t>MRSPWM35ActSD</t>
  </si>
  <si>
    <t>act_sd_pwm35</t>
  </si>
  <si>
    <t>MRSPWM35Asp</t>
  </si>
  <si>
    <t>asp_pwm35</t>
  </si>
  <si>
    <t>MRSPWM35AspSD</t>
  </si>
  <si>
    <t>asp_sd_pwm35</t>
  </si>
  <si>
    <t>MRSPWM35Scyllo</t>
  </si>
  <si>
    <t>scyllo_pwm35</t>
  </si>
  <si>
    <t>MRSPWM35ScylloSD</t>
  </si>
  <si>
    <t>scyllo_sd_pwm35</t>
  </si>
  <si>
    <t>MRSPWM35GABA</t>
  </si>
  <si>
    <t>gaba_pwm35</t>
  </si>
  <si>
    <t>MRSPWM35GABASD</t>
  </si>
  <si>
    <t>gaba_sd_pwm35</t>
  </si>
  <si>
    <t>MRSPWM35GSH</t>
  </si>
  <si>
    <t>gsh_pwm35</t>
  </si>
  <si>
    <t>gsh_sd_pwm35</t>
  </si>
  <si>
    <t>pe_pwm35</t>
  </si>
  <si>
    <t>pe_sd_pwm35</t>
  </si>
  <si>
    <t>pgc_pwm35</t>
  </si>
  <si>
    <t>pgc_sd_pwm35</t>
  </si>
  <si>
    <t>pyr_pwm35</t>
  </si>
  <si>
    <t>pyr_sd_pwm35</t>
  </si>
  <si>
    <t>lip13a_pwm35</t>
  </si>
  <si>
    <t>lip13a_sd_pwm35</t>
  </si>
  <si>
    <t>lip13b_pwm35</t>
  </si>
  <si>
    <t>lip13b_sd_pwm35</t>
  </si>
  <si>
    <t>lip13_pwm35</t>
  </si>
  <si>
    <t>lip13_sd_pwm35</t>
  </si>
  <si>
    <t>lip09_pwm35</t>
  </si>
  <si>
    <t>lip09_sd_pwm35</t>
  </si>
  <si>
    <t>mm09_pwm35</t>
  </si>
  <si>
    <t>mm09_sd_pwm35</t>
  </si>
  <si>
    <t>lipmm09_pwm35</t>
  </si>
  <si>
    <t>lipmm09_sd_pwm35</t>
  </si>
  <si>
    <t>lip20_pwm35</t>
  </si>
  <si>
    <t>lip20_sd_pwm35</t>
  </si>
  <si>
    <t>mm20_pwm35</t>
  </si>
  <si>
    <t>mm20_sd_pwm35</t>
  </si>
  <si>
    <t>lipmm20_pwm35</t>
  </si>
  <si>
    <t>lipmm20_sd_pwm35</t>
  </si>
  <si>
    <t>mm12_pwm35</t>
  </si>
  <si>
    <t>mm12_sd_pwm35</t>
  </si>
  <si>
    <t>mm14_pwm35</t>
  </si>
  <si>
    <t>mm14_sd_pwm35</t>
  </si>
  <si>
    <t>lipmm13_pwm35</t>
  </si>
  <si>
    <t>lipmm13_sd_pwm35</t>
  </si>
  <si>
    <t>mm17_pwm35</t>
  </si>
  <si>
    <t>mm17_sd_pwm35</t>
  </si>
  <si>
    <t>pufa28_pwm35</t>
  </si>
  <si>
    <t>pufa28_sd_pwm35</t>
  </si>
  <si>
    <t>lcmversion_thal288</t>
  </si>
  <si>
    <t>field_thal288</t>
  </si>
  <si>
    <t>type_thal288</t>
  </si>
  <si>
    <t>flag_thal288</t>
  </si>
  <si>
    <t>te_thal288</t>
  </si>
  <si>
    <t>tr_thal288</t>
  </si>
  <si>
    <t>ns_thal288</t>
  </si>
  <si>
    <t>volume_thal288</t>
  </si>
  <si>
    <t>fwhm_thal288</t>
  </si>
  <si>
    <t>snr_thal288</t>
  </si>
  <si>
    <t>phasezero_thal288</t>
  </si>
  <si>
    <t>phase1st_thal288</t>
  </si>
  <si>
    <t>data_shift_thal288</t>
  </si>
  <si>
    <t>ap_off_center_thal288</t>
  </si>
  <si>
    <t>lr_off_center_thal288</t>
  </si>
  <si>
    <t>cc_off_center_thal288</t>
  </si>
  <si>
    <t>firstimagraw_thal288</t>
  </si>
  <si>
    <t>absfirstimagraw_thal288</t>
  </si>
  <si>
    <t>lac_2_tnaa_thal288</t>
  </si>
  <si>
    <t>tnaa_2_tcr_thal288</t>
  </si>
  <si>
    <t>laclip13_2_tnaa_thal288</t>
  </si>
  <si>
    <t>naa_thal288</t>
  </si>
  <si>
    <t>naa_sd_thal288</t>
  </si>
  <si>
    <t>naag_thal288</t>
  </si>
  <si>
    <t>naag_sd_thal288</t>
  </si>
  <si>
    <t>tnaa_thal288</t>
  </si>
  <si>
    <t>tnaa_sd_thal288</t>
  </si>
  <si>
    <t>lac_thal288</t>
  </si>
  <si>
    <t>lac_sd_thal288</t>
  </si>
  <si>
    <t>laclip13_thal288</t>
  </si>
  <si>
    <t>laclip13_sd_thal288</t>
  </si>
  <si>
    <t>cr_thal288</t>
  </si>
  <si>
    <t>cr_sd_thal288</t>
  </si>
  <si>
    <t>pcr_thal288</t>
  </si>
  <si>
    <t>pcr_sd_thal288</t>
  </si>
  <si>
    <t>tcr_thal288</t>
  </si>
  <si>
    <t>tcr_sd_thal288</t>
  </si>
  <si>
    <t>gpc_thal288</t>
  </si>
  <si>
    <t>gpc_sd_thal288</t>
  </si>
  <si>
    <t>pch_thal288</t>
  </si>
  <si>
    <t>pch_sd_thal288</t>
  </si>
  <si>
    <t>ins_thal288</t>
  </si>
  <si>
    <t>ins_sd_thal288</t>
  </si>
  <si>
    <t>glc_thal288</t>
  </si>
  <si>
    <t>glc_sd_thal288</t>
  </si>
  <si>
    <t>gln_thal288</t>
  </si>
  <si>
    <t>gln_sd_thal288</t>
  </si>
  <si>
    <t>glu_thal288</t>
  </si>
  <si>
    <t>glu_sd_thal288</t>
  </si>
  <si>
    <t>glx_thal288</t>
  </si>
  <si>
    <t>glx_sd_thal288</t>
  </si>
  <si>
    <t>glyc_thal288</t>
  </si>
  <si>
    <t>glyc_sd_thal288</t>
  </si>
  <si>
    <t>tau_thal288</t>
  </si>
  <si>
    <t>tau_sd_thal288</t>
  </si>
  <si>
    <t>cit_thal288</t>
  </si>
  <si>
    <t>cit_sd_thal288</t>
  </si>
  <si>
    <t>hg_thal288</t>
  </si>
  <si>
    <t>hg_sd_thal288</t>
  </si>
  <si>
    <t>acac22_thal288</t>
  </si>
  <si>
    <t>acac22_sd_thal288</t>
  </si>
  <si>
    <t>ala_thal288</t>
  </si>
  <si>
    <t>ala_sd_thal288</t>
  </si>
  <si>
    <t>acn_thal288</t>
  </si>
  <si>
    <t>acn_sd_thal288</t>
  </si>
  <si>
    <t>act_thal288</t>
  </si>
  <si>
    <t>act_sd_thal288</t>
  </si>
  <si>
    <t>asp_thal288</t>
  </si>
  <si>
    <t>asp_sd_thal288</t>
  </si>
  <si>
    <t>scyllo_thal288</t>
  </si>
  <si>
    <t>scyllo_sd_thal288</t>
  </si>
  <si>
    <t>gaba_thal288</t>
  </si>
  <si>
    <t>gaba_sd_thal288</t>
  </si>
  <si>
    <t>gsh_thal288</t>
  </si>
  <si>
    <t>gsh_sd_thal288</t>
  </si>
  <si>
    <t>pe_thal288</t>
  </si>
  <si>
    <t>pe_sd_thal288</t>
  </si>
  <si>
    <t>pgc_thal288</t>
  </si>
  <si>
    <t>pgc_sd_thal288</t>
  </si>
  <si>
    <t>pyr_thal288</t>
  </si>
  <si>
    <t>pyr_sd_thal288</t>
  </si>
  <si>
    <t>lip13a_thal288</t>
  </si>
  <si>
    <t>lip13a_sd_thal288</t>
  </si>
  <si>
    <t>lip13b_thal288</t>
  </si>
  <si>
    <t>lip13b_sd_thal288</t>
  </si>
  <si>
    <t>lip13_thal288</t>
  </si>
  <si>
    <t>lip13_sd_thal288</t>
  </si>
  <si>
    <t>lip09_thal288</t>
  </si>
  <si>
    <t>lip09_sd_thal288</t>
  </si>
  <si>
    <t>mm09_thal288</t>
  </si>
  <si>
    <t>mm09_sd_thal288</t>
  </si>
  <si>
    <t>lipmm09_thal288</t>
  </si>
  <si>
    <t>lipmm09_sd_thal288</t>
  </si>
  <si>
    <t>lip20_thal288</t>
  </si>
  <si>
    <t>lip20_sd_thal288</t>
  </si>
  <si>
    <t>mm20_thal288</t>
  </si>
  <si>
    <t>mm20_sd_thal288</t>
  </si>
  <si>
    <t>lipmm20_thal288</t>
  </si>
  <si>
    <t>lipmm20_sd_thal288</t>
  </si>
  <si>
    <t>mm12_thal288</t>
  </si>
  <si>
    <t>mm12_sd_thal288</t>
  </si>
  <si>
    <t>mm14_thal288</t>
  </si>
  <si>
    <t>mm14_sd_thal288</t>
  </si>
  <si>
    <t>lipmm13_thal288</t>
  </si>
  <si>
    <t>lipmm13_sd_thal288</t>
  </si>
  <si>
    <t>mm17_thal288</t>
  </si>
  <si>
    <t>mm17_sd_thal288</t>
  </si>
  <si>
    <t>pufa28_thal288</t>
  </si>
  <si>
    <t>pufa28_sd_thal288</t>
  </si>
  <si>
    <t>lcmversion_thal35</t>
  </si>
  <si>
    <t>field_thal35</t>
  </si>
  <si>
    <t>type_thal35</t>
  </si>
  <si>
    <t>te_thal35</t>
  </si>
  <si>
    <t>tr_thal35</t>
  </si>
  <si>
    <t>ns_thal35</t>
  </si>
  <si>
    <t>volume_thal35</t>
  </si>
  <si>
    <t>fwhm_thal35</t>
  </si>
  <si>
    <t>snr_thal35</t>
  </si>
  <si>
    <t>phasezero_thal35</t>
  </si>
  <si>
    <t>phase1st_thal35</t>
  </si>
  <si>
    <t>data_shift_thal35</t>
  </si>
  <si>
    <t>ap_off_center_thal35</t>
  </si>
  <si>
    <t>lr_off_center_thal35</t>
  </si>
  <si>
    <t>cc_off_center_thal35</t>
  </si>
  <si>
    <t>firstimagraw_thal35</t>
  </si>
  <si>
    <t>absfirstimagraw_thal35</t>
  </si>
  <si>
    <t>lac_2_tnaa_thal35</t>
  </si>
  <si>
    <t>tnaa_2_tcr_thal35</t>
  </si>
  <si>
    <t>laclip13_2_tnaa_thal35</t>
  </si>
  <si>
    <t>naa_thal35</t>
  </si>
  <si>
    <t>naa_sd_thal35</t>
  </si>
  <si>
    <t>naag_thal35</t>
  </si>
  <si>
    <t>naag_sd_thal35</t>
  </si>
  <si>
    <t>tnaa_thal35</t>
  </si>
  <si>
    <t>tnaa_sd_thal35</t>
  </si>
  <si>
    <t>lac_thal35</t>
  </si>
  <si>
    <t>lac_sd_thal35</t>
  </si>
  <si>
    <t>laclip13_thal35</t>
  </si>
  <si>
    <t>laclip13_sd_thal35</t>
  </si>
  <si>
    <t>cr_thal35</t>
  </si>
  <si>
    <t>cr_sd_thal35</t>
  </si>
  <si>
    <t>pcr_thal35</t>
  </si>
  <si>
    <t>pcr_sd_thal35</t>
  </si>
  <si>
    <t>tcr_thal35</t>
  </si>
  <si>
    <t>tcr_sd_thal35</t>
  </si>
  <si>
    <t>gpc_thal35</t>
  </si>
  <si>
    <t>gpc_sd_thal35</t>
  </si>
  <si>
    <t>pch_thal35</t>
  </si>
  <si>
    <t>pch_sd_thal35</t>
  </si>
  <si>
    <t>ins_thal35</t>
  </si>
  <si>
    <t>ins_sd_thal35</t>
  </si>
  <si>
    <t>glc_thal35</t>
  </si>
  <si>
    <t>glc_sd_thal35</t>
  </si>
  <si>
    <t>gln_thal35</t>
  </si>
  <si>
    <t>gln_sd_thal35</t>
  </si>
  <si>
    <t>glu_thal35</t>
  </si>
  <si>
    <t>glu_sd_thal35</t>
  </si>
  <si>
    <t>glx_thal35</t>
  </si>
  <si>
    <t>glx_sd_thal35</t>
  </si>
  <si>
    <t>glyc_thal35</t>
  </si>
  <si>
    <t>glyc_sd_thal35</t>
  </si>
  <si>
    <t>tau_thal35</t>
  </si>
  <si>
    <t>tau_sd_thal35</t>
  </si>
  <si>
    <t>cit_thal35</t>
  </si>
  <si>
    <t>cit_sd_thal35</t>
  </si>
  <si>
    <t>hg_thal35</t>
  </si>
  <si>
    <t>hg_sd_thal35</t>
  </si>
  <si>
    <t>acac22_thal35</t>
  </si>
  <si>
    <t>acac22_sd_thal35</t>
  </si>
  <si>
    <t>ala_thal35</t>
  </si>
  <si>
    <t>ala_sd_thal35</t>
  </si>
  <si>
    <t>acn_thal35</t>
  </si>
  <si>
    <t>acn_sd_thal35</t>
  </si>
  <si>
    <t>act_thal35</t>
  </si>
  <si>
    <t>act_sd_thal35</t>
  </si>
  <si>
    <t>asp_thal35</t>
  </si>
  <si>
    <t>asp_sd_thal35</t>
  </si>
  <si>
    <t>scyllo_thal35</t>
  </si>
  <si>
    <t>scyllo_sd_thal35</t>
  </si>
  <si>
    <t>gaba_thal35</t>
  </si>
  <si>
    <t>gaba_sd_thal35</t>
  </si>
  <si>
    <t>gsh_thal35</t>
  </si>
  <si>
    <t>gsh_sd_thal35</t>
  </si>
  <si>
    <t>pe_thal35</t>
  </si>
  <si>
    <t>pe_sd_thal35</t>
  </si>
  <si>
    <t>pgc_thal35</t>
  </si>
  <si>
    <t>pgc_sd_thal35</t>
  </si>
  <si>
    <t>pyr_thal35</t>
  </si>
  <si>
    <t>pyr_sd_thal35</t>
  </si>
  <si>
    <t>lip13a_thal35</t>
  </si>
  <si>
    <t>lip13a_sd_thal35</t>
  </si>
  <si>
    <t>lip13b_thal35</t>
  </si>
  <si>
    <t>lip13b_sd_thal35</t>
  </si>
  <si>
    <t>lip13_thal35</t>
  </si>
  <si>
    <t>lip13_sd_thal35</t>
  </si>
  <si>
    <t>lip09_thal35</t>
  </si>
  <si>
    <t>lip09_sd_thal35</t>
  </si>
  <si>
    <t>mm09_thal35</t>
  </si>
  <si>
    <t>mm09_sd_thal35</t>
  </si>
  <si>
    <t>lipmm09_thal35</t>
  </si>
  <si>
    <t>lipmm09_sd_thal35</t>
  </si>
  <si>
    <t>lip20_thal35</t>
  </si>
  <si>
    <t>lip20_sd_thal35</t>
  </si>
  <si>
    <t>mm20_thal35</t>
  </si>
  <si>
    <t>mm20_sd_thal35</t>
  </si>
  <si>
    <t>lipmm20_thal35</t>
  </si>
  <si>
    <t>lipmm20_sd_thal35</t>
  </si>
  <si>
    <t>mm12_thal35</t>
  </si>
  <si>
    <t>mm12_sd_thal35</t>
  </si>
  <si>
    <t>mm14_thal35</t>
  </si>
  <si>
    <t>mm14_sd_thal35</t>
  </si>
  <si>
    <t>lipmm13_thal35</t>
  </si>
  <si>
    <t>lipmm13_sd_thal35</t>
  </si>
  <si>
    <t>mm17_thal35</t>
  </si>
  <si>
    <t>mm17_sd_thal35</t>
  </si>
  <si>
    <t>pufa28_thal35</t>
  </si>
  <si>
    <t>pufa28_sd_thal35</t>
  </si>
  <si>
    <t>NICU-discharge</t>
  </si>
  <si>
    <t>dischargeSurvivalStatus</t>
  </si>
  <si>
    <t>Survival status at NICU discharge</t>
  </si>
  <si>
    <t>survival_status</t>
  </si>
  <si>
    <t>Hospital discharge date and time</t>
  </si>
  <si>
    <t>Weight measurement</t>
  </si>
  <si>
    <t>Height measurement</t>
  </si>
  <si>
    <t>Death date and time</t>
  </si>
  <si>
    <t>days2death</t>
  </si>
  <si>
    <t>Death cause text</t>
  </si>
  <si>
    <t>lengthOfStay</t>
  </si>
  <si>
    <t>Length of stay in the NICU (days)</t>
  </si>
  <si>
    <t>lengthofstay_days</t>
  </si>
  <si>
    <t>discharge_neuro_exam_decreased_tone</t>
  </si>
  <si>
    <t>Discharge Neuro Exam:  Name of Examiner:</t>
  </si>
  <si>
    <t>Discharge: NEUROLOGIC</t>
  </si>
  <si>
    <t>Discharge: METABOLIC</t>
  </si>
  <si>
    <t>Hypoglycemia diagnosis indicator</t>
  </si>
  <si>
    <t>Discharge: SYNDROMES/MALFORMATION?</t>
  </si>
  <si>
    <t>Discharge: GASTROINTESTINAL</t>
  </si>
  <si>
    <t>dischargeTPN</t>
  </si>
  <si>
    <t>If the patient was on total parenteral nutrition at anytime in the NICU</t>
  </si>
  <si>
    <t>TPN_NICU</t>
  </si>
  <si>
    <t>Discharge: HEMATOLOGIC</t>
  </si>
  <si>
    <t>discharge_altered_skin_itegrity_post_treat</t>
  </si>
  <si>
    <t>hearing_exam</t>
  </si>
  <si>
    <t>Hearing problem indicator</t>
  </si>
  <si>
    <t>ALTERED SKIN INTEGRITY: Post Study Intervention Period</t>
  </si>
  <si>
    <t>Discharge: RENAL</t>
  </si>
  <si>
    <t>seizure_NICU</t>
  </si>
  <si>
    <t>seizures_yes_no</t>
  </si>
  <si>
    <t>dischargeSeizureOnsetAge_day</t>
  </si>
  <si>
    <t>Age of seizure onset</t>
  </si>
  <si>
    <t>discharge_seizure_onset_age</t>
  </si>
  <si>
    <t>Seizure onset Date</t>
  </si>
  <si>
    <t>seizure_onset_days</t>
  </si>
  <si>
    <t>dischargeSeizureType</t>
  </si>
  <si>
    <t>What type of seizures?</t>
  </si>
  <si>
    <t>discharge_seizure_type</t>
  </si>
  <si>
    <t>Seizure type</t>
  </si>
  <si>
    <t>seizure_type</t>
  </si>
  <si>
    <t>discharge_seizure_before_baseline</t>
  </si>
  <si>
    <t>discharge_seizure_post_treat</t>
  </si>
  <si>
    <t>Seizures EEG recorded total count</t>
  </si>
  <si>
    <t>Discharge: INFECTION/SEPTICEMIA</t>
  </si>
  <si>
    <t>Discharge: MAJOR SURGERY?</t>
  </si>
  <si>
    <t>EHR (REDCap) create date</t>
  </si>
  <si>
    <t>EHR (REDCap) complete date</t>
  </si>
  <si>
    <t>EHR (REDCap) record complete</t>
  </si>
  <si>
    <t>Epo</t>
  </si>
  <si>
    <t>chronological_age</t>
  </si>
  <si>
    <t>Postnatal age value</t>
  </si>
  <si>
    <t>corrected_age</t>
  </si>
  <si>
    <t>Caregiver primary type</t>
  </si>
  <si>
    <t>Marital or partner status</t>
  </si>
  <si>
    <t>Living with person relationship type</t>
  </si>
  <si>
    <t>Living with persons count</t>
  </si>
  <si>
    <t>Education level USA type</t>
  </si>
  <si>
    <t>Employment current status</t>
  </si>
  <si>
    <t>Education school participation status</t>
  </si>
  <si>
    <t>Family income range</t>
  </si>
  <si>
    <t>Health insurance type</t>
  </si>
  <si>
    <t>Language primary text</t>
  </si>
  <si>
    <t>primary responder (form filler)</t>
  </si>
  <si>
    <t>CFPRRESP</t>
  </si>
  <si>
    <t>initials of person filling form</t>
  </si>
  <si>
    <t>form completion - date when medical history obtained</t>
  </si>
  <si>
    <t>form completion - initials of person filling the form</t>
  </si>
  <si>
    <t>weight</t>
  </si>
  <si>
    <t>length</t>
  </si>
  <si>
    <t>head_circumference</t>
  </si>
  <si>
    <t>Strabismus indicator</t>
  </si>
  <si>
    <t>Nystagmus indicator</t>
  </si>
  <si>
    <t>visionImpaired</t>
  </si>
  <si>
    <t>vision impaired?</t>
  </si>
  <si>
    <t>visualimp</t>
  </si>
  <si>
    <t>hearimp</t>
  </si>
  <si>
    <t>Medical history hearing deficit indicator</t>
  </si>
  <si>
    <t>Dysphagia indicator</t>
  </si>
  <si>
    <t>Walk unsteady indicator</t>
  </si>
  <si>
    <t>Tremor indicator</t>
  </si>
  <si>
    <t>Upper limb tone findings result</t>
  </si>
  <si>
    <t>Lower limb tone findings result</t>
  </si>
  <si>
    <t>Hand preference type</t>
  </si>
  <si>
    <t>cerebralpalsy</t>
  </si>
  <si>
    <t>developmentalDelay</t>
  </si>
  <si>
    <t>any developmental delay?</t>
  </si>
  <si>
    <t>developmental_delay</t>
  </si>
  <si>
    <t>initials completing the form</t>
  </si>
  <si>
    <t>EFINITS</t>
  </si>
  <si>
    <t>Gross Motor Function Classification System (GMFCS) - Level scale</t>
  </si>
  <si>
    <t>cognition_raw</t>
  </si>
  <si>
    <t>cognition_scaled</t>
  </si>
  <si>
    <t>cognition_composite</t>
  </si>
  <si>
    <t>BayleyIIICognitivePercentile</t>
  </si>
  <si>
    <t>cognition_percentile</t>
  </si>
  <si>
    <t>language_rc_raw</t>
  </si>
  <si>
    <t>language_ec_raw</t>
  </si>
  <si>
    <t>language_total_raw</t>
  </si>
  <si>
    <t>language_composite</t>
  </si>
  <si>
    <t>BayleyIIILanguagePercentile</t>
  </si>
  <si>
    <t>language_percentile</t>
  </si>
  <si>
    <t>motor_fm_raw</t>
  </si>
  <si>
    <t>motor_fm_scaled</t>
  </si>
  <si>
    <t>motor_gm_raw</t>
  </si>
  <si>
    <t>motor_gm_scaled</t>
  </si>
  <si>
    <t>motor_total_raw</t>
  </si>
  <si>
    <t>motor_composite</t>
  </si>
  <si>
    <t>BayleyIIIMotorPercentile</t>
  </si>
  <si>
    <t>motor_percentile</t>
  </si>
  <si>
    <t>is_bayleyiii_require_interpreter</t>
  </si>
  <si>
    <t>is_bayleyiii_administrator_masked_to_child_history</t>
  </si>
  <si>
    <t>days2bsidexam</t>
  </si>
  <si>
    <t>BayleyIIIAge_mo</t>
  </si>
  <si>
    <t>age_test_months</t>
  </si>
  <si>
    <t>initials</t>
  </si>
  <si>
    <t>form completion - initials</t>
  </si>
  <si>
    <t>DFINITSA</t>
  </si>
  <si>
    <t>primary_status</t>
  </si>
  <si>
    <t>cerebralPalsyStatus</t>
  </si>
  <si>
    <t>cpstatus</t>
  </si>
  <si>
    <t>final_outcome_log</t>
  </si>
  <si>
    <t>ses_form</t>
  </si>
  <si>
    <t>medical_history_form</t>
  </si>
  <si>
    <t>readmission_form</t>
  </si>
  <si>
    <t>child_exam_form</t>
  </si>
  <si>
    <t>bayleyiii_score_form</t>
  </si>
  <si>
    <t>status_form</t>
  </si>
  <si>
    <t>lost_follow_up_form</t>
  </si>
  <si>
    <t>lost_follow_up_last_known_alive_corrected_age</t>
  </si>
  <si>
    <t>lost_follow_up_interview_corrected_age</t>
  </si>
  <si>
    <t>lost_follow_up_chart_review_corrected_age</t>
  </si>
  <si>
    <t>interview_walk_alone_age</t>
  </si>
  <si>
    <t>initials of the interviewer</t>
  </si>
  <si>
    <t>Phone Followup</t>
  </si>
  <si>
    <t>Analysis ID</t>
  </si>
  <si>
    <t>calc</t>
  </si>
  <si>
    <t>Which Follow Up is this?</t>
  </si>
  <si>
    <t>fu_event</t>
  </si>
  <si>
    <t>radio</t>
  </si>
  <si>
    <t>1.1 Has the infant been hospitalized continuously since birth in the HEAL enrolling hospital?</t>
  </si>
  <si>
    <t>fu_4mhospcheck</t>
  </si>
  <si>
    <t>checkbox</t>
  </si>
  <si>
    <t>1.2 Please confirm the following:</t>
  </si>
  <si>
    <t>fu_confirm</t>
  </si>
  <si>
    <t>1.3. Was an interview able to be conducted?</t>
  </si>
  <si>
    <t>fu_interview</t>
  </si>
  <si>
    <t>If yes, please provide day of life:</t>
  </si>
  <si>
    <t>fu_interview_dol</t>
  </si>
  <si>
    <t>If no, please choose reason(s) why:</t>
  </si>
  <si>
    <t>fu_interview_reasons</t>
  </si>
  <si>
    <t>2.1. Is your child participating in any other research study?</t>
  </si>
  <si>
    <t>fu_other_study</t>
  </si>
  <si>
    <t>2.2. Has your child received any experimental therapies or non-traditional therapies? &lt;i&gt;(Examples include: stem cell therapy, acupuncture, herbal remedies, cannibanoids, participation in other clinical trials aside from HEAL, etc. &lt;b&gt;&lt;u&gt;Note:&lt;/u&gt; Participation in HEAL does not count as a 'Yes' for this question.)&lt;/b&gt;&lt;/i&gt;</t>
  </si>
  <si>
    <t>fu_exp_therapy</t>
  </si>
  <si>
    <t>2.3. Has your child been treated in an Emergency Department or urgent care clinic since last contact? &lt;i&gt;(Do not fill out if child has been hospitalized since birth.)&lt;/i&gt;</t>
  </si>
  <si>
    <t>fu_treated</t>
  </si>
  <si>
    <t>If Yes, how many times?</t>
  </si>
  <si>
    <t>fu_treated_times</t>
  </si>
  <si>
    <t>2.4 Has your child been admitted to the hospital overnight since last contact? &lt;i&gt;(Do not fill out if child has been hospitalized continuously since birth.)&lt;/i&gt;</t>
  </si>
  <si>
    <t>fu_admit</t>
  </si>
  <si>
    <t>Admit Day of Life:</t>
  </si>
  <si>
    <t>fu_admit_dol1</t>
  </si>
  <si>
    <t>Number of days:</t>
  </si>
  <si>
    <t>fu_admit_days1</t>
  </si>
  <si>
    <t>Was there another hospital admission?</t>
  </si>
  <si>
    <t>fu_admit1</t>
  </si>
  <si>
    <t>fu_admit_dol2</t>
  </si>
  <si>
    <t>fu_admit_days2</t>
  </si>
  <si>
    <t>fu_admit2</t>
  </si>
  <si>
    <t>fu_admit_dol3</t>
  </si>
  <si>
    <t>fu_admit_days3</t>
  </si>
  <si>
    <t>fu_admit3</t>
  </si>
  <si>
    <t>fu_admit_dol4</t>
  </si>
  <si>
    <t>fu_admit_days4</t>
  </si>
  <si>
    <t>fu_admit4</t>
  </si>
  <si>
    <t>fu_admit_dol5</t>
  </si>
  <si>
    <t>fu_admit_days5</t>
  </si>
  <si>
    <t>2.5. Since your last study interview (which may have been your child's hospitalization or phone call), has your child received any of the following diagnoses or surgeries? (check all that apply)</t>
  </si>
  <si>
    <t>fu_surgery</t>
  </si>
  <si>
    <t>2.5. Since your last study interview, has your child received any of the following diagnoses or surgeries? (check all that apply)</t>
  </si>
  <si>
    <t>fu_surgery_24m</t>
  </si>
  <si>
    <t>2.6. Since your last interview, has your child used oxygen? &lt;i&gt;(Note: does not include nebulizer and oxygen treatments for asthma)&lt;/i&gt;</t>
  </si>
  <si>
    <t>fu_oxygen</t>
  </si>
  <si>
    <t>2.7. Since your last interview, has your child used a ventilator?</t>
  </si>
  <si>
    <t>fu_machine</t>
  </si>
  <si>
    <t>2.8 Does your child currently have any problems with vision?</t>
  </si>
  <si>
    <t>fu_vision</t>
  </si>
  <si>
    <t>If Yes or Not Sure, which of the following is true (check all that apply)?</t>
  </si>
  <si>
    <t>fu_visionproblem</t>
  </si>
  <si>
    <t>Surgery Day of Life:</t>
  </si>
  <si>
    <t>fu_vision_surgerydol</t>
  </si>
  <si>
    <t>If legally blind, which eye(s):</t>
  </si>
  <si>
    <t>fu_vision_blindeye</t>
  </si>
  <si>
    <t>2.9. Does your child have any problems with hearing?</t>
  </si>
  <si>
    <t>fu_hearing</t>
  </si>
  <si>
    <t>fu_hearingproblem</t>
  </si>
  <si>
    <t>Tympanostomy tubes
 Day of Life</t>
  </si>
  <si>
    <t>fu_hearing_tubes_dol</t>
  </si>
  <si>
    <t>2.10. Since your last interview, has your child been diagnosed or suspected to have a genetic condition?</t>
  </si>
  <si>
    <t>fu_genetic_cond</t>
  </si>
  <si>
    <t>If Yes, was a specific gene mutation identified on genetic testing?</t>
  </si>
  <si>
    <t>fu_genetic_cond_mutation</t>
  </si>
  <si>
    <t>notes</t>
  </si>
  <si>
    <t>&lt;b&gt;COORDINATOR:&lt;/b&gt; If Yes, please provide details on the specific condition and any testing done to confirm this diagnosis:</t>
  </si>
  <si>
    <t>fu_genetic_cond_details</t>
  </si>
  <si>
    <t>2.10. Since birth, has your child &lt;u&gt;ever&lt;/u&gt; been diagnosed or suspected to have a genetic condition?</t>
  </si>
  <si>
    <t>fu_genetic_cond_24m</t>
  </si>
  <si>
    <t>fu_genetic_cond_mut_24m</t>
  </si>
  <si>
    <t>descriptive</t>
  </si>
  <si>
    <t>&lt;p style="background-color:blue; height:2px"&gt;</t>
  </si>
  <si>
    <t>fu_genetic_line1</t>
  </si>
  <si>
    <t>2.11. Since birth, has your child ever been diagnosed by a physician or therapist with any of the following? (check all that apply)</t>
  </si>
  <si>
    <t>fu_otherdx</t>
  </si>
  <si>
    <t>&lt;font color = 'blue'&gt;Cerebral Palsy, or possible Cerebral Palsy&lt;/font&gt;</t>
  </si>
  <si>
    <t>fu_otherdx_cp_text1</t>
  </si>
  <si>
    <t>&lt;div style="padding-left: 2em"&gt;At what age? (months)&lt;/div&gt;</t>
  </si>
  <si>
    <t>fu_otherdx_cp_age</t>
  </si>
  <si>
    <t>&lt;div style="padding-left: 2em"&gt;Do you think your child still has this diagnosis now?&lt;div&gt;</t>
  </si>
  <si>
    <t>fu_otherdx_cp_still</t>
  </si>
  <si>
    <t>&lt;font color = 'blue'&gt;Abnormal use of an arm or a leg, or both&lt;/font&gt;</t>
  </si>
  <si>
    <t>fu_otherdx_abn_text1</t>
  </si>
  <si>
    <t>fu_otherdx_abn_age</t>
  </si>
  <si>
    <t>fu_otherdx_abn_still</t>
  </si>
  <si>
    <t>&lt;font color = 'blue'&gt;Delayed or abnormal speech or language development&lt;/font&gt;</t>
  </si>
  <si>
    <t>fu_otherdx_delay_text1</t>
  </si>
  <si>
    <t>fu_otherdx_delay_age</t>
  </si>
  <si>
    <t>fu_otherdx_delay_still</t>
  </si>
  <si>
    <t>&lt;font color = 'blue'&gt;Autism Spectrum Disorder&lt;/font&gt;</t>
  </si>
  <si>
    <t>fu_otherdx_asd_text</t>
  </si>
  <si>
    <t>fu_otherdx_asd_age</t>
  </si>
  <si>
    <t>fu_otherdx_asd_still</t>
  </si>
  <si>
    <t>&lt;font color = 'blue'&gt;Microcephaly, or abnormally small head&lt;/font&gt;</t>
  </si>
  <si>
    <t>fu_otherdx_micro_text</t>
  </si>
  <si>
    <t>fu_otherdx_micro_age</t>
  </si>
  <si>
    <t>fu_otherdx_micro_still</t>
  </si>
  <si>
    <t>&lt;p style="background-color:pink;border-color:black"&gt;3. Current Medications&lt;/p&gt;</t>
  </si>
  <si>
    <t>fu_text_sect3</t>
  </si>
  <si>
    <t>3.1. Since your last interview, has your child taken any prescription medications?</t>
  </si>
  <si>
    <t>fu_meds</t>
  </si>
  <si>
    <t>If yes: &lt;i&gt;"Can you please tell me the name of each medication your child is currently taking? Are there any other medications your infant has taken since we last spoke?"&lt;/i&gt;
 Ask parent/guardian to list the names of medications. Don't prompt with specific examples, but do help them say/spell the medication name. Record each medication name and then select all categories that apply that these medications fall under. 
 (Note: do not need to enter vitamins, ibuprofen, tylenol, other over the counter medications)</t>
  </si>
  <si>
    <t>fu_meds_desc</t>
  </si>
  <si>
    <t>&lt;div style="padding-left: 2em"&gt;3.1.1 What type of medications is your child currently taking? Are there any types of medications your child has taken since we last spoke?&lt;/div&gt;</t>
  </si>
  <si>
    <t>fu_meds_types</t>
  </si>
  <si>
    <t>&lt;center&gt;Seizure Medications&lt;/center&gt;&lt;p style="background-color:blue; height:2px"&gt;</t>
  </si>
  <si>
    <t>fu_seizuremeds_desc</t>
  </si>
  <si>
    <t>Adrenocorticotropic hormone injection (ACTH)</t>
  </si>
  <si>
    <t>fu_meds_acth</t>
  </si>
  <si>
    <t>Carbamazepine (Tegretol)</t>
  </si>
  <si>
    <t>fu_meds_carbamazepine</t>
  </si>
  <si>
    <t>Clobazam (Onfi)</t>
  </si>
  <si>
    <t>fu_meds_clobazam</t>
  </si>
  <si>
    <t>fu_meds_levetiracetam</t>
  </si>
  <si>
    <t>Oxcarbazepine (Trileptal)</t>
  </si>
  <si>
    <t>fu_meds_oxcarbazepine</t>
  </si>
  <si>
    <t>fu_meds_phenobarbital</t>
  </si>
  <si>
    <t>fu_meds_phenytoin</t>
  </si>
  <si>
    <t>fu_meds_seizure_other</t>
  </si>
  <si>
    <t>&lt;center&gt;Neuro Medications&lt;/center&gt;&lt;p style="background-color:blue; height:2px"&gt;</t>
  </si>
  <si>
    <t>fu_neuromeds_desc</t>
  </si>
  <si>
    <t>Baclofen</t>
  </si>
  <si>
    <t>fu_meds_baclofen</t>
  </si>
  <si>
    <t>Botox</t>
  </si>
  <si>
    <t>fu_meds_botox</t>
  </si>
  <si>
    <t>Clonazepam (Klonopin) -- hidden by DCC 10/3/2018</t>
  </si>
  <si>
    <t>fu_meds_clonazepam</t>
  </si>
  <si>
    <t>Clonidine</t>
  </si>
  <si>
    <t>fu_meds_clonidine</t>
  </si>
  <si>
    <t>Melatonin</t>
  </si>
  <si>
    <t>fu_meds_melatonin</t>
  </si>
  <si>
    <t>Risperdal</t>
  </si>
  <si>
    <t>fu_meds_risperdal</t>
  </si>
  <si>
    <t>fu_meds_neuro_other</t>
  </si>
  <si>
    <t>&lt;center&gt;GI Medications&lt;/center&gt;&lt;p style="background-color:blue; height:2px"&gt;</t>
  </si>
  <si>
    <t>fu_gimeds_desc</t>
  </si>
  <si>
    <t>Erythromycin</t>
  </si>
  <si>
    <t>fu_meds_erythromycin</t>
  </si>
  <si>
    <t>Lansoprozole (Prevacid)</t>
  </si>
  <si>
    <t>fu_meds_lansoprozole</t>
  </si>
  <si>
    <t>Metoclopramide (Reglan)</t>
  </si>
  <si>
    <t>fu_meds_metoclopramide</t>
  </si>
  <si>
    <t>Ranitidine (Zantac)</t>
  </si>
  <si>
    <t>fu_meds_ranitidine</t>
  </si>
  <si>
    <t>Pantoprazole (Protonix)</t>
  </si>
  <si>
    <t>fu_meds_pantoprazole</t>
  </si>
  <si>
    <t>fu_meds_gi_other</t>
  </si>
  <si>
    <t>&lt;center&gt;Pulmonary Medications&lt;/center&gt;&lt;p style="background-color:blue; height:2px"&gt;</t>
  </si>
  <si>
    <t>fu_pulmmeds_desc</t>
  </si>
  <si>
    <t>Dexamethasone</t>
  </si>
  <si>
    <t>fu_meds_dexamethasone</t>
  </si>
  <si>
    <t>Hydrocortisone</t>
  </si>
  <si>
    <t>fu_meds_hydrocortisone</t>
  </si>
  <si>
    <t>Prednisone/Prednisolone</t>
  </si>
  <si>
    <t>fu_meds_pred</t>
  </si>
  <si>
    <t>fu_meds_pulm_other</t>
  </si>
  <si>
    <t>&lt;center&gt;Antibiotics&lt;/center&gt;&lt;p style="background-color:blue; height:2px"&gt;</t>
  </si>
  <si>
    <t>fu_antibiotics_desc</t>
  </si>
  <si>
    <t>Antibiotic #1</t>
  </si>
  <si>
    <t>fu_meds_antibiotic1</t>
  </si>
  <si>
    <t>Antibiotic #2</t>
  </si>
  <si>
    <t>fu_meds_antibiotic2</t>
  </si>
  <si>
    <t>Antibiotic #3</t>
  </si>
  <si>
    <t>fu_meds_antibiotic3</t>
  </si>
  <si>
    <t>Antibiotic #4</t>
  </si>
  <si>
    <t>fu_meds_antibiotic4</t>
  </si>
  <si>
    <t>Antibiotic #5</t>
  </si>
  <si>
    <t>fu_meds_antibiotic5</t>
  </si>
  <si>
    <t>&lt;center&gt;Other Medications&lt;/center&gt;&lt;p style="background-color:blue; height:2px"&gt;</t>
  </si>
  <si>
    <t>fu_othermeds_desc</t>
  </si>
  <si>
    <t>Other medication #1</t>
  </si>
  <si>
    <t>fu_meds_other1</t>
  </si>
  <si>
    <t>Other medication #2</t>
  </si>
  <si>
    <t>fu_meds_other2</t>
  </si>
  <si>
    <t>Other medication #3</t>
  </si>
  <si>
    <t>fu_meds_other3</t>
  </si>
  <si>
    <t>Other medication #4</t>
  </si>
  <si>
    <t>fu_meds_other4</t>
  </si>
  <si>
    <t>Other medication #5</t>
  </si>
  <si>
    <t>fu_meds_other5</t>
  </si>
  <si>
    <t>fu_othermeds_line</t>
  </si>
  <si>
    <t>&lt;p style="background-color:pink;border-color:black"&gt;4. Special Services&lt;/p&gt;</t>
  </si>
  <si>
    <t>fu_text_sect4</t>
  </si>
  <si>
    <t>4.1. Since going home from the hospital after birth, has your child been referred for any special services?</t>
  </si>
  <si>
    <t>fu_serv_posthosp</t>
  </si>
  <si>
    <t>If yes, please list the services.</t>
  </si>
  <si>
    <t>fu_serv_posthosp_list</t>
  </si>
  <si>
    <t>4.2. Since your last interview, has your child received any special services?</t>
  </si>
  <si>
    <t>fu_serv_lastint</t>
  </si>
  <si>
    <t>*If yes, please list the services.</t>
  </si>
  <si>
    <t>fu_serv_lastint_list</t>
  </si>
  <si>
    <t>&lt;p style="background-color:pink;border-color:black"&gt;5. Home Environment &amp; Nutrition&lt;/p&gt;</t>
  </si>
  <si>
    <t>fu_text_sect5</t>
  </si>
  <si>
    <t>5.2. What type of milk does your child take?
 &lt;font color='red'&gt;Field hidden on 2018-10-04&lt;/font&gt;</t>
  </si>
  <si>
    <t>fu_milk</t>
  </si>
  <si>
    <t>If no longer breast feeding, please the age (in months) when breast feeding finished:
 &lt;font color='red'&gt;Field hidden on 2018-10-04&lt;/font&gt;</t>
  </si>
  <si>
    <t>fu_done_breast</t>
  </si>
  <si>
    <t>&lt;p style="background-color:pink;border-color:black"&gt;6. Seizures&lt;/p&gt;</t>
  </si>
  <si>
    <t>fu_text_sect6</t>
  </si>
  <si>
    <t>6.1 Since your last interview, how often has your child had a seizure or convulsion?</t>
  </si>
  <si>
    <t>fu_seizure_freqnow</t>
  </si>
  <si>
    <t>&lt;div style="padding-left: 2em"&gt;6.1.1. If your child has had a seizure, has your child had 2 or more seizures that were NOT due to fever, and NOT due to another clear cause (e.g. head trauma, drug ingestion, etc)?&lt;/div&gt;</t>
  </si>
  <si>
    <t>fu_seizure_2ormore</t>
  </si>
  <si>
    <t>6.2 Since your last interview, has your child been diagnosed with any of the following (check all that apply):</t>
  </si>
  <si>
    <t>fu_seizure_types</t>
  </si>
  <si>
    <t>&lt;p style="background-color:pink;border-color:black"&gt;7. Milestones:&lt;/p&gt;
 &lt;i&gt;"Please let me know if you have seen your baby perform any of the following behaviors:"&lt;/i&gt;
 Read the milestone for the survey time point that is appropriate (either 4 or 8 months.)</t>
  </si>
  <si>
    <t>fu_text_sect7</t>
  </si>
  <si>
    <t>Does your baby follow you with his/her eyes when you move in front of him, or move a toy in front of him/her?</t>
  </si>
  <si>
    <t>fu_4m_eyesfollow</t>
  </si>
  <si>
    <t>Does your baby smile when someone else smiles at him/her?</t>
  </si>
  <si>
    <t>fu_4m_smile</t>
  </si>
  <si>
    <t>Is your baby rolling over on his/her own?</t>
  </si>
  <si>
    <t>fu_8m_rolling</t>
  </si>
  <si>
    <t>Does your baby sit on his/her own, when placed in a sitting position?</t>
  </si>
  <si>
    <t>fu_8m_sit</t>
  </si>
  <si>
    <t>Have you heard your baby make babbling sounds? That is, has your baby made sounds that include consonants, such as "ba", "da", "ya" or "ma"?</t>
  </si>
  <si>
    <t>fu_8m_babbling</t>
  </si>
  <si>
    <t>&lt;p style="background-color:blue; height:2px"&gt;
 &lt;p style="background-color:pink;border-color:black"&gt;Thank-you for allowing us to complete this follow-up survey over the phone with you today. We will contact you again at 8 Months. If you have any concerns you think I may be able to help you with please let me know. Here are a few websites that have information about your child's development that you may be interested in, can I send you the web addresses to your e-mail? Among other things, they provide information about normal developmental milestones for growing babies.
 &lt;b&gt;Resources&lt;/b&gt;:
 * Birth to 5: Watch me thrive!: &lt;a href="http://www.hhs.gov/WatchMeThrive" target="_blank"&gt;http://www.hhs.gov/WatchMeThrive&lt;/a&gt;
 * Learn the Signs, Act Early: &lt;a href="http://www.cdc.gov/ncbddd/actearly/index.html" target="_blank"&gt;http://www.cdc.gov/ncbddd/actearly/index.html&lt;/a&gt;
 * Bright Futures: &lt;a href="http://brightfutures.aap.org/" target="_blank"&gt;http://brightfutures.aap.org/&lt;/a&gt;
 &lt;/p&gt;</t>
  </si>
  <si>
    <t>fu_footer_0</t>
  </si>
  <si>
    <t>&lt;p style="background-color:blue; height:2px"&gt;
 &lt;p style="background-color:pink;border-color:black"&gt;Thank-you for allowing us to complete this follow-up survey over the phone with you today. We will contact you again at 12 Months. If you have any concerns you think I may be able to help you with please let me know. Here are a few websites that have information about your child's development that you may be interested in, can I send you the web addresses to your e-mail? Among other things, they provide information about normal developmental milestones for growing babies.
 &lt;b&gt;Resources&lt;/b&gt;:
 * Birth to 5: Watch me thrive!: &lt;a href="http://www.hhs.gov/WatchMeThrive" target="_blank"&gt;http://www.hhs.gov/WatchMeThrive&lt;/a&gt;
 * Learn the Signs, Act Early: &lt;a href="http://www.cdc.gov/ncbddd/actearly/index.html" target="_blank"&gt;http://www.cdc.gov/ncbddd/actearly/index.html&lt;/a&gt;
 * Bright Futures: &lt;a href="http://brightfutures.aap.org/" target="_blank"&gt;http://brightfutures.aap.org/&lt;/a&gt;
 &lt;/p&gt;</t>
  </si>
  <si>
    <t>fu_footer_1</t>
  </si>
  <si>
    <t>&lt;p style="background-color:blue; height:2px"&gt;&lt;p style="text-align:center;"&gt;The Warner Initial Developmental Evaluation of Adaptive and Functional Skills (WIDEA)&lt;/p&gt;&lt;p style="background-color:blue; height:2px"&gt;</t>
  </si>
  <si>
    <t>widea_desc</t>
  </si>
  <si>
    <t>preinatal_sentinel_event</t>
  </si>
  <si>
    <t>treatment_assignment_duration</t>
  </si>
  <si>
    <t>primary_all</t>
  </si>
  <si>
    <t>death24m</t>
  </si>
  <si>
    <t>secondary_all5</t>
  </si>
  <si>
    <t>2year_composite_outcome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</si>
</sst>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0.0"/>
      <color rgb="FF000000"/>
      <name val="Arial"/>
      <scheme val="minor"/>
    </font>
    <font>
      <b/>
      <sz val="14.0"/>
      <color rgb="FF000000"/>
      <name val="Arial"/>
    </font>
    <font>
      <b/>
      <sz val="14.0"/>
      <color theme="1"/>
      <name val="Arial"/>
      <scheme val="minor"/>
    </font>
    <font>
      <b/>
      <sz val="11.0"/>
      <color rgb="FF000000"/>
      <name val="Arial"/>
    </font>
    <font>
      <b/>
      <color theme="1"/>
      <name val="Arial"/>
      <scheme val="minor"/>
    </font>
    <font>
      <b/>
      <sz val="11.0"/>
      <color theme="1"/>
      <name val="Calibri"/>
    </font>
    <font>
      <b/>
      <color rgb="FFFF00FF"/>
      <name val="Arial"/>
      <scheme val="minor"/>
    </font>
    <font>
      <color rgb="FFFF00FF"/>
      <name val="Arial"/>
    </font>
    <font>
      <color rgb="FF000000"/>
      <name val="Arial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b/>
      <color rgb="FF000000"/>
      <name val="Arial"/>
      <scheme val="minor"/>
    </font>
    <font>
      <color rgb="FF000000"/>
      <name val="Arial"/>
      <scheme val="minor"/>
    </font>
    <font>
      <color rgb="FFFF9900"/>
      <name val="Arial"/>
    </font>
    <font>
      <color rgb="FFFF9900"/>
      <name val="Arial"/>
      <scheme val="minor"/>
    </font>
    <font>
      <sz val="11.0"/>
      <color rgb="FFFF00FF"/>
      <name val="Calibri"/>
    </font>
    <font>
      <sz val="11.0"/>
      <color rgb="FFFF0000"/>
      <name val="Calibri"/>
    </font>
    <font>
      <b/>
      <color theme="1"/>
      <name val="Arial"/>
    </font>
    <font>
      <b/>
      <color rgb="FF000000"/>
      <name val="Arial"/>
    </font>
    <font>
      <color rgb="FFFF00FF"/>
      <name val="Arial"/>
      <scheme val="minor"/>
    </font>
    <font>
      <color rgb="FFFF0000"/>
      <name val="Arial"/>
      <scheme val="minor"/>
    </font>
    <font>
      <sz val="11.0"/>
      <color rgb="FFFF9900"/>
      <name val="Calibri"/>
    </font>
    <font>
      <b/>
      <sz val="11.0"/>
      <color rgb="FF000000"/>
      <name val="Calibri"/>
    </font>
    <font>
      <sz val="10.0"/>
      <color theme="1"/>
      <name val="Arial"/>
    </font>
    <font>
      <sz val="10.0"/>
      <color theme="1"/>
      <name val="Arial"/>
      <scheme val="minor"/>
    </font>
    <font>
      <sz val="11.0"/>
      <color rgb="FF000000"/>
      <name val="Docs-Calibri"/>
    </font>
    <font>
      <sz val="11.0"/>
      <color theme="1"/>
      <name val="Ui-sans-serif"/>
    </font>
    <font>
      <color theme="1"/>
      <name val="System-ui"/>
    </font>
    <font>
      <b/>
      <color rgb="FF0000FF"/>
      <name val="Arial"/>
      <scheme val="minor"/>
    </font>
    <font>
      <color rgb="FF0000FF"/>
      <name val="Arial"/>
    </font>
    <font>
      <color rgb="FF0000FF"/>
      <name val="Arial"/>
      <scheme val="minor"/>
    </font>
    <font>
      <sz val="11.0"/>
      <color rgb="FF0000FF"/>
      <name val="Calibri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EDDA"/>
        <bgColor rgb="FFFFEDDA"/>
      </patternFill>
    </fill>
    <fill>
      <patternFill patternType="solid">
        <fgColor rgb="FFE0F0FF"/>
        <bgColor rgb="FFE0F0FF"/>
      </patternFill>
    </fill>
    <fill>
      <patternFill patternType="solid">
        <fgColor rgb="FFFFF698"/>
        <bgColor rgb="FFFFF698"/>
      </patternFill>
    </fill>
    <fill>
      <patternFill patternType="solid">
        <fgColor rgb="FFF4CCE6"/>
        <bgColor rgb="FFF4CCE6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D8D9"/>
        <bgColor rgb="FF00D8D9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F4CCCC"/>
        <bgColor rgb="FFF4CCCC"/>
      </patternFill>
    </fill>
  </fills>
  <borders count="8">
    <border/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3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left" readingOrder="0" shrinkToFit="0" wrapText="1"/>
    </xf>
    <xf borderId="0" fillId="2" fontId="3" numFmtId="0" xfId="0" applyAlignment="1" applyFont="1">
      <alignment horizontal="left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4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5" numFmtId="0" xfId="0" applyAlignment="1" applyFont="1">
      <alignment readingOrder="0" vertical="bottom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/>
    </xf>
    <xf borderId="0" fillId="0" fontId="8" numFmtId="0" xfId="0" applyAlignment="1" applyFont="1">
      <alignment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2" fontId="9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 shrinkToFit="0" vertical="bottom" wrapText="0"/>
    </xf>
    <xf borderId="0" fillId="2" fontId="11" numFmtId="0" xfId="0" applyFont="1"/>
    <xf borderId="0" fillId="2" fontId="12" numFmtId="0" xfId="0" applyAlignment="1" applyFont="1">
      <alignment readingOrder="0" vertical="bottom"/>
    </xf>
    <xf borderId="0" fillId="2" fontId="13" numFmtId="0" xfId="0" applyAlignment="1" applyFont="1">
      <alignment vertical="bottom"/>
    </xf>
    <xf borderId="0" fillId="2" fontId="11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2" numFmtId="0" xfId="0" applyAlignment="1" applyFont="1">
      <alignment vertical="bottom"/>
    </xf>
    <xf borderId="0" fillId="2" fontId="15" numFmtId="0" xfId="0" applyAlignment="1" applyFont="1">
      <alignment readingOrder="0"/>
    </xf>
    <xf borderId="0" fillId="2" fontId="11" numFmtId="0" xfId="0" applyFont="1"/>
    <xf borderId="0" fillId="2" fontId="16" numFmtId="0" xfId="0" applyAlignment="1" applyFont="1">
      <alignment readingOrder="0" shrinkToFit="0" vertical="bottom" wrapText="0"/>
    </xf>
    <xf borderId="0" fillId="2" fontId="4" numFmtId="0" xfId="0" applyAlignment="1" applyFont="1">
      <alignment horizontal="left"/>
    </xf>
    <xf borderId="0" fillId="2" fontId="8" numFmtId="0" xfId="0" applyAlignment="1" applyFont="1">
      <alignment readingOrder="0" shrinkToFit="0" vertical="bottom" wrapText="1"/>
    </xf>
    <xf borderId="0" fillId="2" fontId="17" numFmtId="0" xfId="0" applyFont="1"/>
    <xf borderId="0" fillId="0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16" numFmtId="0" xfId="0" applyAlignment="1" applyFont="1">
      <alignment readingOrder="0" shrinkToFit="0" vertical="bottom" wrapText="0"/>
    </xf>
    <xf borderId="0" fillId="2" fontId="18" numFmtId="0" xfId="0" applyAlignment="1" applyFont="1">
      <alignment vertical="bottom"/>
    </xf>
    <xf borderId="0" fillId="2" fontId="19" numFmtId="0" xfId="0" applyAlignment="1" applyFont="1">
      <alignment horizontal="center" vertical="bottom"/>
    </xf>
    <xf borderId="0" fillId="2" fontId="19" numFmtId="0" xfId="0" applyAlignment="1" applyFont="1">
      <alignment horizontal="center" readingOrder="0" vertical="bottom"/>
    </xf>
    <xf borderId="0" fillId="0" fontId="6" numFmtId="0" xfId="0" applyAlignment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2" fontId="20" numFmtId="0" xfId="0" applyAlignment="1" applyFont="1">
      <alignment vertical="bottom"/>
    </xf>
    <xf borderId="0" fillId="2" fontId="20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2" fontId="10" numFmtId="0" xfId="0" applyAlignment="1" applyFont="1">
      <alignment horizontal="center" vertical="bottom"/>
    </xf>
    <xf borderId="0" fillId="0" fontId="14" numFmtId="0" xfId="0" applyAlignment="1" applyFont="1">
      <alignment readingOrder="0"/>
    </xf>
    <xf borderId="0" fillId="3" fontId="4" numFmtId="0" xfId="0" applyAlignment="1" applyFill="1" applyFont="1">
      <alignment horizontal="left" readingOrder="0"/>
    </xf>
    <xf borderId="0" fillId="3" fontId="6" numFmtId="0" xfId="0" applyAlignment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4" numFmtId="0" xfId="0" applyAlignment="1" applyFont="1">
      <alignment horizontal="center" readingOrder="0"/>
    </xf>
    <xf borderId="0" fillId="3" fontId="4" numFmtId="0" xfId="0" applyAlignment="1" applyFont="1">
      <alignment readingOrder="0"/>
    </xf>
    <xf borderId="0" fillId="3" fontId="8" numFmtId="0" xfId="0" applyAlignment="1" applyFont="1">
      <alignment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3" fontId="11" numFmtId="0" xfId="0" applyFont="1"/>
    <xf borderId="0" fillId="3" fontId="21" numFmtId="0" xfId="0" applyAlignment="1" applyFont="1">
      <alignment readingOrder="0" shrinkToFit="0" vertical="bottom" wrapText="0"/>
    </xf>
    <xf borderId="0" fillId="3" fontId="19" numFmtId="0" xfId="0" applyAlignment="1" applyFont="1">
      <alignment horizontal="center" readingOrder="0" vertical="bottom"/>
    </xf>
    <xf borderId="0" fillId="3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3" fontId="14" numFmtId="0" xfId="0" applyAlignment="1" applyFont="1">
      <alignment readingOrder="0"/>
    </xf>
    <xf borderId="1" fillId="3" fontId="13" numFmtId="0" xfId="0" applyAlignment="1" applyBorder="1" applyFont="1">
      <alignment readingOrder="0" vertical="bottom"/>
    </xf>
    <xf borderId="1" fillId="3" fontId="13" numFmtId="0" xfId="0" applyAlignment="1" applyBorder="1" applyFont="1">
      <alignment vertical="bottom"/>
    </xf>
    <xf borderId="0" fillId="3" fontId="18" numFmtId="0" xfId="0" applyAlignment="1" applyFont="1">
      <alignment vertical="bottom"/>
    </xf>
    <xf borderId="0" fillId="3" fontId="13" numFmtId="0" xfId="0" applyAlignment="1" applyFont="1">
      <alignment vertical="bottom"/>
    </xf>
    <xf borderId="0" fillId="3" fontId="22" numFmtId="0" xfId="0" applyFont="1"/>
    <xf borderId="0" fillId="3" fontId="11" numFmtId="0" xfId="0" applyFont="1"/>
    <xf borderId="0" fillId="3" fontId="23" numFmtId="0" xfId="0" applyAlignment="1" applyFont="1">
      <alignment horizontal="center" readingOrder="0"/>
    </xf>
    <xf borderId="0" fillId="3" fontId="9" numFmtId="0" xfId="0" applyAlignment="1" applyFont="1">
      <alignment readingOrder="0" shrinkToFit="0" vertical="bottom" wrapText="0"/>
    </xf>
    <xf borderId="0" fillId="0" fontId="13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3" fontId="24" numFmtId="0" xfId="0" applyAlignment="1" applyFont="1">
      <alignment vertical="bottom"/>
    </xf>
    <xf borderId="0" fillId="3" fontId="16" numFmtId="0" xfId="0" applyAlignment="1" applyFont="1">
      <alignment readingOrder="0" shrinkToFit="0" vertical="bottom" wrapText="0"/>
    </xf>
    <xf borderId="1" fillId="3" fontId="24" numFmtId="0" xfId="0" applyAlignment="1" applyBorder="1" applyFont="1">
      <alignment vertical="bottom"/>
    </xf>
    <xf borderId="0" fillId="3" fontId="20" numFmtId="0" xfId="0" applyAlignment="1" applyFont="1">
      <alignment readingOrder="0"/>
    </xf>
    <xf borderId="0" fillId="3" fontId="8" numFmtId="0" xfId="0" applyAlignment="1" applyFont="1">
      <alignment shrinkToFit="0" vertical="bottom" wrapText="0"/>
    </xf>
    <xf borderId="0" fillId="4" fontId="4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8" numFmtId="0" xfId="0" applyAlignment="1" applyFont="1">
      <alignment readingOrder="0" shrinkToFit="0" vertical="bottom" wrapText="0"/>
    </xf>
    <xf borderId="0" fillId="4" fontId="4" numFmtId="0" xfId="0" applyAlignment="1" applyFont="1">
      <alignment horizontal="center" readingOrder="0"/>
    </xf>
    <xf borderId="0" fillId="4" fontId="11" numFmtId="0" xfId="0" applyFont="1"/>
    <xf borderId="0" fillId="4" fontId="7" numFmtId="0" xfId="0" applyAlignment="1" applyFont="1">
      <alignment readingOrder="0" shrinkToFit="0" vertical="bottom" wrapText="0"/>
    </xf>
    <xf borderId="0" fillId="4" fontId="1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4" fontId="11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4" fontId="3" numFmtId="0" xfId="0" applyAlignment="1" applyFont="1">
      <alignment horizontal="left" readingOrder="0" shrinkToFit="0" wrapText="1"/>
    </xf>
    <xf borderId="1" fillId="4" fontId="11" numFmtId="0" xfId="0" applyAlignment="1" applyBorder="1" applyFont="1">
      <alignment readingOrder="0"/>
    </xf>
    <xf borderId="0" fillId="4" fontId="13" numFmtId="0" xfId="0" applyAlignment="1" applyFont="1">
      <alignment vertical="bottom"/>
    </xf>
    <xf borderId="1" fillId="4" fontId="13" numFmtId="0" xfId="0" applyAlignment="1" applyBorder="1" applyFont="1">
      <alignment vertical="bottom"/>
    </xf>
    <xf borderId="0" fillId="4" fontId="12" numFmtId="0" xfId="0" applyAlignment="1" applyFont="1">
      <alignment vertical="bottom"/>
    </xf>
    <xf borderId="0" fillId="4" fontId="18" numFmtId="0" xfId="0" applyAlignment="1" applyFont="1">
      <alignment vertical="bottom"/>
    </xf>
    <xf borderId="0" fillId="4" fontId="8" numFmtId="0" xfId="0" applyAlignment="1" applyFont="1">
      <alignment shrinkToFit="0" vertical="bottom" wrapText="0"/>
    </xf>
    <xf borderId="0" fillId="4" fontId="21" numFmtId="0" xfId="0" applyAlignment="1" applyFont="1">
      <alignment horizontal="left" readingOrder="0"/>
    </xf>
    <xf borderId="0" fillId="4" fontId="8" numFmtId="0" xfId="0" applyAlignment="1" applyFont="1">
      <alignment horizontal="left" readingOrder="0"/>
    </xf>
    <xf borderId="0" fillId="5" fontId="4" numFmtId="0" xfId="0" applyAlignment="1" applyFill="1" applyFont="1">
      <alignment horizontal="left" readingOrder="0"/>
    </xf>
    <xf borderId="0" fillId="5" fontId="4" numFmtId="0" xfId="0" applyAlignment="1" applyFont="1">
      <alignment readingOrder="0"/>
    </xf>
    <xf borderId="0" fillId="5" fontId="8" numFmtId="0" xfId="0" applyAlignment="1" applyFont="1">
      <alignment readingOrder="0" shrinkToFit="0" vertical="bottom" wrapText="0"/>
    </xf>
    <xf borderId="0" fillId="5" fontId="4" numFmtId="0" xfId="0" applyAlignment="1" applyFont="1">
      <alignment horizontal="center" readingOrder="0"/>
    </xf>
    <xf borderId="0" fillId="5" fontId="11" numFmtId="0" xfId="0" applyFont="1"/>
    <xf borderId="0" fillId="5" fontId="11" numFmtId="0" xfId="0" applyAlignment="1" applyFont="1">
      <alignment readingOrder="0"/>
    </xf>
    <xf borderId="0" fillId="5" fontId="3" numFmtId="0" xfId="0" applyAlignment="1" applyFont="1">
      <alignment horizontal="left" readingOrder="0" shrinkToFit="0" wrapText="1"/>
    </xf>
    <xf borderId="0" fillId="5" fontId="10" numFmtId="0" xfId="0" applyAlignment="1" applyFont="1">
      <alignment readingOrder="0" shrinkToFit="0" vertical="bottom" wrapText="0"/>
    </xf>
    <xf borderId="0" fillId="5" fontId="18" numFmtId="0" xfId="0" applyAlignment="1" applyFont="1">
      <alignment vertical="bottom"/>
    </xf>
    <xf borderId="0" fillId="5" fontId="13" numFmtId="0" xfId="0" applyAlignment="1" applyFont="1">
      <alignment vertical="bottom"/>
    </xf>
    <xf borderId="0" fillId="5" fontId="12" numFmtId="0" xfId="0" applyAlignment="1" applyFont="1">
      <alignment vertical="bottom"/>
    </xf>
    <xf borderId="0" fillId="5" fontId="14" numFmtId="0" xfId="0" applyAlignment="1" applyFont="1">
      <alignment readingOrder="0"/>
    </xf>
    <xf borderId="2" fillId="5" fontId="12" numFmtId="0" xfId="0" applyAlignment="1" applyBorder="1" applyFont="1">
      <alignment vertical="bottom"/>
    </xf>
    <xf borderId="2" fillId="5" fontId="13" numFmtId="0" xfId="0" applyAlignment="1" applyBorder="1" applyFont="1">
      <alignment vertical="bottom"/>
    </xf>
    <xf borderId="0" fillId="5" fontId="12" numFmtId="0" xfId="0" applyAlignment="1" applyFont="1">
      <alignment readingOrder="0" vertical="bottom"/>
    </xf>
    <xf borderId="0" fillId="5" fontId="6" numFmtId="0" xfId="0" applyAlignment="1" applyFont="1">
      <alignment readingOrder="0"/>
    </xf>
    <xf borderId="0" fillId="5" fontId="20" numFmtId="0" xfId="0" applyAlignment="1" applyFont="1">
      <alignment readingOrder="0" shrinkToFit="0" vertical="bottom" wrapText="0"/>
    </xf>
    <xf borderId="0" fillId="5" fontId="8" numFmtId="0" xfId="0" applyAlignment="1" applyFont="1">
      <alignment shrinkToFit="0" vertical="bottom" wrapText="0"/>
    </xf>
    <xf borderId="0" fillId="5" fontId="9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/>
    </xf>
    <xf borderId="0" fillId="0" fontId="4" numFmtId="0" xfId="0" applyFont="1"/>
    <xf borderId="0" fillId="6" fontId="4" numFmtId="0" xfId="0" applyAlignment="1" applyFill="1" applyFont="1">
      <alignment horizontal="left" readingOrder="0"/>
    </xf>
    <xf borderId="0" fillId="6" fontId="3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11" numFmtId="0" xfId="0" applyAlignment="1" applyFont="1">
      <alignment readingOrder="0"/>
    </xf>
    <xf borderId="0" fillId="6" fontId="4" numFmtId="0" xfId="0" applyAlignment="1" applyFont="1">
      <alignment horizontal="center" readingOrder="0"/>
    </xf>
    <xf borderId="0" fillId="6" fontId="4" numFmtId="0" xfId="0" applyFont="1"/>
    <xf borderId="0" fillId="6" fontId="11" numFmtId="0" xfId="0" applyFont="1"/>
    <xf borderId="0" fillId="6" fontId="11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/>
    </xf>
    <xf borderId="0" fillId="6" fontId="21" numFmtId="0" xfId="0" applyAlignment="1" applyFont="1">
      <alignment horizontal="left" readingOrder="0"/>
    </xf>
    <xf borderId="0" fillId="7" fontId="4" numFmtId="0" xfId="0" applyAlignment="1" applyFill="1" applyFont="1">
      <alignment horizontal="left" readingOrder="0"/>
    </xf>
    <xf borderId="0" fillId="7" fontId="3" numFmtId="0" xfId="0" applyAlignment="1" applyFont="1">
      <alignment horizontal="left" readingOrder="0"/>
    </xf>
    <xf borderId="0" fillId="7" fontId="4" numFmtId="0" xfId="0" applyAlignment="1" applyFont="1">
      <alignment readingOrder="0"/>
    </xf>
    <xf borderId="0" fillId="7" fontId="11" numFmtId="0" xfId="0" applyAlignment="1" applyFont="1">
      <alignment readingOrder="0" shrinkToFit="0" wrapText="1"/>
    </xf>
    <xf borderId="0" fillId="7" fontId="4" numFmtId="0" xfId="0" applyAlignment="1" applyFont="1">
      <alignment horizontal="center" readingOrder="0"/>
    </xf>
    <xf borderId="0" fillId="7" fontId="4" numFmtId="0" xfId="0" applyAlignment="1" applyFont="1">
      <alignment shrinkToFit="0" wrapText="1"/>
    </xf>
    <xf borderId="0" fillId="7" fontId="25" numFmtId="0" xfId="0" applyAlignment="1" applyFont="1">
      <alignment readingOrder="0"/>
    </xf>
    <xf borderId="0" fillId="7" fontId="11" numFmtId="0" xfId="0" applyFont="1"/>
    <xf borderId="0" fillId="0" fontId="11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7" fontId="12" numFmtId="0" xfId="0" applyAlignment="1" applyFont="1">
      <alignment readingOrder="0" shrinkToFit="0" wrapText="1"/>
    </xf>
    <xf borderId="0" fillId="7" fontId="11" numFmtId="0" xfId="0" applyAlignment="1" applyFont="1">
      <alignment readingOrder="0"/>
    </xf>
    <xf borderId="3" fillId="7" fontId="12" numFmtId="0" xfId="0" applyAlignment="1" applyBorder="1" applyFont="1">
      <alignment horizontal="left" readingOrder="0" shrinkToFit="0" wrapText="1"/>
    </xf>
    <xf borderId="0" fillId="0" fontId="12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7" fontId="4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7" fontId="26" numFmtId="0" xfId="0" applyAlignment="1" applyFont="1">
      <alignment readingOrder="0"/>
    </xf>
    <xf borderId="0" fillId="7" fontId="11" numFmtId="0" xfId="0" applyAlignment="1" applyFont="1">
      <alignment shrinkToFit="0" wrapText="1"/>
    </xf>
    <xf borderId="0" fillId="7" fontId="27" numFmtId="0" xfId="0" applyAlignment="1" applyFont="1">
      <alignment readingOrder="0"/>
    </xf>
    <xf borderId="0" fillId="7" fontId="11" numFmtId="0" xfId="0" applyAlignment="1" applyFont="1">
      <alignment horizontal="left" readingOrder="0" shrinkToFit="0" wrapText="1"/>
    </xf>
    <xf borderId="0" fillId="0" fontId="22" numFmtId="0" xfId="0" applyAlignment="1" applyFont="1">
      <alignment readingOrder="0"/>
    </xf>
    <xf borderId="0" fillId="8" fontId="8" numFmtId="0" xfId="0" applyAlignment="1" applyFill="1" applyFont="1">
      <alignment readingOrder="0" shrinkToFit="0" vertical="bottom" wrapText="0"/>
    </xf>
    <xf borderId="0" fillId="8" fontId="12" numFmtId="0" xfId="0" applyAlignment="1" applyFont="1">
      <alignment readingOrder="0" vertical="bottom"/>
    </xf>
    <xf borderId="0" fillId="8" fontId="12" numFmtId="0" xfId="0" applyAlignment="1" applyFont="1">
      <alignment vertical="bottom"/>
    </xf>
    <xf borderId="0" fillId="8" fontId="4" numFmtId="0" xfId="0" applyAlignment="1" applyFont="1">
      <alignment readingOrder="0"/>
    </xf>
    <xf borderId="0" fillId="8" fontId="4" numFmtId="0" xfId="0" applyAlignment="1" applyFont="1">
      <alignment readingOrder="0" shrinkToFit="0" wrapText="1"/>
    </xf>
    <xf borderId="0" fillId="0" fontId="11" numFmtId="0" xfId="0" applyFont="1"/>
    <xf borderId="0" fillId="9" fontId="7" numFmtId="0" xfId="0" applyAlignment="1" applyFill="1" applyFont="1">
      <alignment horizontal="left" readingOrder="0"/>
    </xf>
    <xf borderId="0" fillId="0" fontId="11" numFmtId="49" xfId="0" applyAlignment="1" applyFont="1" applyNumberFormat="1">
      <alignment readingOrder="0"/>
    </xf>
    <xf borderId="0" fillId="0" fontId="11" numFmtId="49" xfId="0" applyFont="1" applyNumberFormat="1"/>
    <xf borderId="4" fillId="0" fontId="13" numFmtId="0" xfId="0" applyAlignment="1" applyBorder="1" applyFont="1">
      <alignment shrinkToFit="0" vertical="bottom" wrapText="1"/>
    </xf>
    <xf borderId="4" fillId="0" fontId="13" numFmtId="49" xfId="0" applyAlignment="1" applyBorder="1" applyFont="1" applyNumberFormat="1">
      <alignment shrinkToFit="0" vertical="bottom" wrapText="1"/>
    </xf>
    <xf borderId="0" fillId="0" fontId="13" numFmtId="49" xfId="0" applyAlignment="1" applyFont="1" applyNumberFormat="1">
      <alignment shrinkToFit="0" vertical="bottom" wrapText="1"/>
    </xf>
    <xf borderId="5" fillId="0" fontId="13" numFmtId="0" xfId="0" applyAlignment="1" applyBorder="1" applyFont="1">
      <alignment shrinkToFit="0" vertical="bottom" wrapText="1"/>
    </xf>
    <xf borderId="5" fillId="0" fontId="13" numFmtId="49" xfId="0" applyAlignment="1" applyBorder="1" applyFont="1" applyNumberForma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shrinkToFit="0" vertical="bottom" wrapText="1"/>
    </xf>
    <xf borderId="6" fillId="0" fontId="13" numFmtId="0" xfId="0" applyAlignment="1" applyBorder="1" applyFont="1">
      <alignment shrinkToFit="0" vertical="bottom" wrapText="1"/>
    </xf>
    <xf borderId="7" fillId="0" fontId="13" numFmtId="0" xfId="0" applyAlignment="1" applyBorder="1" applyFont="1">
      <alignment shrinkToFit="0" vertical="bottom" wrapText="1"/>
    </xf>
    <xf borderId="4" fillId="0" fontId="13" numFmtId="49" xfId="0" applyAlignment="1" applyBorder="1" applyFont="1" applyNumberFormat="1">
      <alignment readingOrder="0" shrinkToFit="0" vertical="bottom" wrapText="1"/>
    </xf>
    <xf borderId="5" fillId="0" fontId="13" numFmtId="49" xfId="0" applyAlignment="1" applyBorder="1" applyFont="1" applyNumberFormat="1">
      <alignment readingOrder="0" shrinkToFit="0" vertical="bottom" wrapText="1"/>
    </xf>
    <xf borderId="6" fillId="0" fontId="13" numFmtId="0" xfId="0" applyAlignment="1" applyBorder="1" applyFont="1">
      <alignment readingOrder="0" shrinkToFit="0" vertical="bottom" wrapText="1"/>
    </xf>
    <xf borderId="7" fillId="0" fontId="13" numFmtId="0" xfId="0" applyAlignment="1" applyBorder="1" applyFont="1">
      <alignment readingOrder="0" shrinkToFit="0" vertical="bottom" wrapText="1"/>
    </xf>
    <xf borderId="7" fillId="0" fontId="13" numFmtId="49" xfId="0" applyAlignment="1" applyBorder="1" applyFont="1" applyNumberFormat="1">
      <alignment readingOrder="0" shrinkToFit="0" vertical="bottom" wrapText="1"/>
    </xf>
    <xf borderId="0" fillId="0" fontId="13" numFmtId="49" xfId="0" applyAlignment="1" applyFont="1" applyNumberFormat="1">
      <alignment readingOrder="0" shrinkToFit="0" vertical="bottom" wrapText="1"/>
    </xf>
    <xf borderId="0" fillId="0" fontId="11" numFmtId="49" xfId="0" applyAlignment="1" applyFont="1" applyNumberFormat="1">
      <alignment horizontal="left" readingOrder="0" shrinkToFit="0" wrapText="1"/>
    </xf>
    <xf borderId="0" fillId="0" fontId="12" numFmtId="49" xfId="0" applyAlignment="1" applyFont="1" applyNumberFormat="1">
      <alignment readingOrder="0"/>
    </xf>
    <xf borderId="0" fillId="9" fontId="28" numFmtId="49" xfId="0" applyAlignment="1" applyFont="1" applyNumberFormat="1">
      <alignment horizontal="left" readingOrder="0"/>
    </xf>
    <xf borderId="0" fillId="9" fontId="12" numFmtId="49" xfId="0" applyAlignment="1" applyFont="1" applyNumberFormat="1">
      <alignment horizontal="left" readingOrder="0"/>
    </xf>
    <xf borderId="6" fillId="0" fontId="13" numFmtId="49" xfId="0" applyAlignment="1" applyBorder="1" applyFont="1" applyNumberFormat="1">
      <alignment readingOrder="0" shrinkToFit="0" vertical="bottom" wrapText="1"/>
    </xf>
    <xf borderId="0" fillId="0" fontId="29" numFmtId="49" xfId="0" applyAlignment="1" applyFont="1" applyNumberFormat="1">
      <alignment horizontal="left" readingOrder="0"/>
    </xf>
    <xf borderId="4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4" fillId="0" fontId="12" numFmtId="49" xfId="0" applyAlignment="1" applyBorder="1" applyFont="1" applyNumberFormat="1">
      <alignment readingOrder="0" shrinkToFit="0" wrapText="1"/>
    </xf>
    <xf borderId="0" fillId="0" fontId="12" numFmtId="0" xfId="0" applyAlignment="1" applyFont="1">
      <alignment readingOrder="0"/>
    </xf>
    <xf borderId="0" fillId="0" fontId="9" numFmtId="49" xfId="0" applyAlignment="1" applyFont="1" applyNumberFormat="1">
      <alignment vertical="bottom"/>
    </xf>
    <xf borderId="0" fillId="0" fontId="11" numFmtId="0" xfId="0" applyAlignment="1" applyFont="1">
      <alignment horizontal="left" readingOrder="0" shrinkToFit="0" wrapText="1"/>
    </xf>
    <xf borderId="0" fillId="10" fontId="2" numFmtId="0" xfId="0" applyAlignment="1" applyFill="1" applyFont="1">
      <alignment readingOrder="0"/>
    </xf>
    <xf borderId="0" fillId="0" fontId="2" numFmtId="0" xfId="0" applyFont="1"/>
    <xf borderId="0" fillId="8" fontId="3" numFmtId="0" xfId="0" applyAlignment="1" applyFont="1">
      <alignment horizontal="left" readingOrder="0" shrinkToFit="0" wrapText="1"/>
    </xf>
    <xf borderId="0" fillId="8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10" fontId="4" numFmtId="0" xfId="0" applyAlignment="1" applyFont="1">
      <alignment readingOrder="0"/>
    </xf>
    <xf borderId="0" fillId="8" fontId="11" numFmtId="0" xfId="0" applyFont="1"/>
    <xf borderId="0" fillId="8" fontId="11" numFmtId="0" xfId="0" applyAlignment="1" applyFont="1">
      <alignment readingOrder="0"/>
    </xf>
    <xf borderId="0" fillId="8" fontId="5" numFmtId="0" xfId="0" applyAlignment="1" applyFont="1">
      <alignment vertical="bottom"/>
    </xf>
    <xf borderId="0" fillId="8" fontId="6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8" fontId="7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8" fontId="10" numFmtId="0" xfId="0" applyAlignment="1" applyFont="1">
      <alignment readingOrder="0" shrinkToFit="0" vertical="bottom" wrapText="0"/>
    </xf>
    <xf borderId="0" fillId="8" fontId="13" numFmtId="0" xfId="0" applyAlignment="1" applyFont="1">
      <alignment vertical="bottom"/>
    </xf>
    <xf borderId="0" fillId="8" fontId="14" numFmtId="0" xfId="0" applyAlignment="1" applyFont="1">
      <alignment readingOrder="0"/>
    </xf>
    <xf borderId="0" fillId="8" fontId="15" numFmtId="0" xfId="0" applyAlignment="1" applyFont="1">
      <alignment readingOrder="0"/>
    </xf>
    <xf borderId="0" fillId="8" fontId="11" numFmtId="0" xfId="0" applyFont="1"/>
    <xf borderId="0" fillId="8" fontId="16" numFmtId="0" xfId="0" applyAlignment="1" applyFont="1">
      <alignment readingOrder="0" shrinkToFit="0" vertical="bottom" wrapText="0"/>
    </xf>
    <xf borderId="0" fillId="8" fontId="8" numFmtId="0" xfId="0" applyAlignment="1" applyFont="1">
      <alignment shrinkToFit="0" vertical="bottom" wrapText="0"/>
    </xf>
    <xf borderId="0" fillId="8" fontId="4" numFmtId="0" xfId="0" applyAlignment="1" applyFont="1">
      <alignment horizontal="left"/>
    </xf>
    <xf borderId="0" fillId="8" fontId="8" numFmtId="0" xfId="0" applyAlignment="1" applyFont="1">
      <alignment readingOrder="0" shrinkToFit="0" vertical="bottom" wrapText="1"/>
    </xf>
    <xf borderId="0" fillId="8" fontId="17" numFmtId="0" xfId="0" applyFont="1"/>
    <xf borderId="0" fillId="8" fontId="30" numFmtId="0" xfId="0" applyFont="1"/>
    <xf borderId="0" fillId="11" fontId="4" numFmtId="0" xfId="0" applyAlignment="1" applyFill="1" applyFont="1">
      <alignment horizontal="left" readingOrder="0"/>
    </xf>
    <xf borderId="0" fillId="11" fontId="4" numFmtId="0" xfId="0" applyAlignment="1" applyFont="1">
      <alignment readingOrder="0"/>
    </xf>
    <xf borderId="0" fillId="11" fontId="8" numFmtId="0" xfId="0" applyAlignment="1" applyFont="1">
      <alignment readingOrder="0" shrinkToFit="0" vertical="bottom" wrapText="0"/>
    </xf>
    <xf borderId="0" fillId="11" fontId="11" numFmtId="0" xfId="0" applyAlignment="1" applyFont="1">
      <alignment readingOrder="0"/>
    </xf>
    <xf borderId="0" fillId="11" fontId="11" numFmtId="0" xfId="0" applyFont="1"/>
    <xf borderId="0" fillId="11" fontId="7" numFmtId="0" xfId="0" applyAlignment="1" applyFont="1">
      <alignment readingOrder="0" shrinkToFit="0" vertical="bottom" wrapText="0"/>
    </xf>
    <xf borderId="0" fillId="11" fontId="16" numFmtId="0" xfId="0" applyAlignment="1" applyFont="1">
      <alignment readingOrder="0" shrinkToFit="0" vertical="bottom" wrapText="0"/>
    </xf>
    <xf borderId="0" fillId="11" fontId="8" numFmtId="0" xfId="0" applyAlignment="1" applyFont="1">
      <alignment shrinkToFit="0" vertical="bottom" wrapText="0"/>
    </xf>
    <xf borderId="0" fillId="11" fontId="10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shrinkToFit="0" vertical="bottom" wrapText="0"/>
    </xf>
    <xf borderId="0" fillId="6" fontId="16" numFmtId="0" xfId="0" applyAlignment="1" applyFont="1">
      <alignment readingOrder="0" shrinkToFit="0" vertical="bottom" wrapText="0"/>
    </xf>
    <xf borderId="0" fillId="6" fontId="8" numFmtId="0" xfId="0" applyAlignment="1" applyFont="1">
      <alignment shrinkToFit="0" vertical="bottom" wrapText="0"/>
    </xf>
    <xf borderId="0" fillId="6" fontId="31" numFmtId="0" xfId="0" applyAlignment="1" applyFont="1">
      <alignment readingOrder="0"/>
    </xf>
    <xf borderId="0" fillId="12" fontId="32" numFmtId="0" xfId="0" applyAlignment="1" applyFill="1" applyFont="1">
      <alignment readingOrder="0" shrinkToFit="0" vertical="bottom" wrapText="0"/>
    </xf>
    <xf borderId="0" fillId="0" fontId="31" numFmtId="0" xfId="0" applyAlignment="1" applyFont="1">
      <alignment readingOrder="0"/>
    </xf>
    <xf borderId="0" fillId="6" fontId="32" numFmtId="0" xfId="0" applyAlignment="1" applyFont="1">
      <alignment shrinkToFit="0" vertical="bottom" wrapText="0"/>
    </xf>
    <xf borderId="0" fillId="6" fontId="32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/>
    </xf>
    <xf borderId="0" fillId="7" fontId="7" numFmtId="0" xfId="0" applyAlignment="1" applyFont="1">
      <alignment readingOrder="0" shrinkToFit="0" vertical="bottom" wrapText="0"/>
    </xf>
    <xf borderId="0" fillId="7" fontId="16" numFmtId="0" xfId="0" applyAlignment="1" applyFont="1">
      <alignment readingOrder="0" shrinkToFit="0" vertical="bottom" wrapText="0"/>
    </xf>
    <xf borderId="0" fillId="7" fontId="8" numFmtId="0" xfId="0" applyAlignment="1" applyFont="1">
      <alignment shrinkToFit="0" vertical="bottom" wrapText="0"/>
    </xf>
    <xf borderId="0" fillId="7" fontId="31" numFmtId="0" xfId="0" applyAlignment="1" applyFont="1">
      <alignment readingOrder="0"/>
    </xf>
    <xf borderId="0" fillId="7" fontId="33" numFmtId="0" xfId="0" applyAlignment="1" applyFont="1">
      <alignment readingOrder="0"/>
    </xf>
    <xf borderId="0" fillId="7" fontId="33" numFmtId="0" xfId="0" applyFont="1"/>
    <xf borderId="0" fillId="7" fontId="32" numFmtId="0" xfId="0" applyAlignment="1" applyFont="1">
      <alignment readingOrder="0" shrinkToFit="0" vertical="bottom" wrapText="0"/>
    </xf>
    <xf borderId="0" fillId="7" fontId="10" numFmtId="0" xfId="0" applyAlignment="1" applyFont="1">
      <alignment readingOrder="0" shrinkToFit="0" vertical="bottom" wrapText="0"/>
    </xf>
    <xf borderId="0" fillId="7" fontId="8" numFmtId="0" xfId="0" applyAlignment="1" applyFont="1">
      <alignment readingOrder="0" shrinkToFit="0" vertical="bottom" wrapText="0"/>
    </xf>
    <xf borderId="0" fillId="7" fontId="32" numFmtId="0" xfId="0" applyAlignment="1" applyFont="1">
      <alignment shrinkToFit="0" vertical="bottom" wrapText="0"/>
    </xf>
    <xf borderId="0" fillId="7" fontId="14" numFmtId="0" xfId="0" applyAlignment="1" applyFont="1">
      <alignment readingOrder="0"/>
    </xf>
    <xf borderId="0" fillId="7" fontId="18" numFmtId="0" xfId="0" applyAlignment="1" applyFont="1">
      <alignment vertical="bottom"/>
    </xf>
    <xf borderId="0" fillId="7" fontId="13" numFmtId="0" xfId="0" applyAlignment="1" applyFont="1">
      <alignment vertical="bottom"/>
    </xf>
    <xf borderId="0" fillId="7" fontId="19" numFmtId="0" xfId="0" applyAlignment="1" applyFont="1">
      <alignment horizontal="center" vertical="bottom"/>
    </xf>
    <xf borderId="0" fillId="7" fontId="6" numFmtId="0" xfId="0" applyAlignment="1" applyFont="1">
      <alignment readingOrder="0"/>
    </xf>
    <xf borderId="0" fillId="13" fontId="32" numFmtId="0" xfId="0" applyAlignment="1" applyFill="1" applyFont="1">
      <alignment readingOrder="0" shrinkToFit="0" vertical="bottom" wrapText="0"/>
    </xf>
    <xf borderId="0" fillId="14" fontId="4" numFmtId="0" xfId="0" applyAlignment="1" applyFill="1" applyFont="1">
      <alignment horizontal="left" readingOrder="0"/>
    </xf>
    <xf borderId="0" fillId="14" fontId="4" numFmtId="0" xfId="0" applyAlignment="1" applyFont="1">
      <alignment readingOrder="0"/>
    </xf>
    <xf borderId="0" fillId="14" fontId="11" numFmtId="0" xfId="0" applyAlignment="1" applyFont="1">
      <alignment readingOrder="0"/>
    </xf>
    <xf borderId="0" fillId="11" fontId="13" numFmtId="0" xfId="0" applyAlignment="1" applyFont="1">
      <alignment vertical="bottom"/>
    </xf>
    <xf borderId="0" fillId="14" fontId="13" numFmtId="0" xfId="0" applyAlignment="1" applyFont="1">
      <alignment vertical="bottom"/>
    </xf>
    <xf borderId="0" fillId="11" fontId="19" numFmtId="0" xfId="0" applyAlignment="1" applyFont="1">
      <alignment horizontal="center" readingOrder="0" vertical="bottom"/>
    </xf>
    <xf borderId="0" fillId="14" fontId="16" numFmtId="0" xfId="0" applyAlignment="1" applyFont="1">
      <alignment readingOrder="0" shrinkToFit="0" vertical="bottom" wrapText="0"/>
    </xf>
    <xf borderId="0" fillId="14" fontId="31" numFmtId="0" xfId="0" applyAlignment="1" applyFont="1">
      <alignment readingOrder="0"/>
    </xf>
    <xf borderId="0" fillId="11" fontId="32" numFmtId="0" xfId="0" applyAlignment="1" applyFont="1">
      <alignment readingOrder="0" shrinkToFit="0" vertical="bottom" wrapText="0"/>
    </xf>
    <xf borderId="0" fillId="14" fontId="8" numFmtId="0" xfId="0" applyAlignment="1" applyFont="1">
      <alignment readingOrder="0" shrinkToFit="0" vertical="bottom" wrapText="0"/>
    </xf>
    <xf borderId="0" fillId="11" fontId="32" numFmtId="0" xfId="0" applyAlignment="1" applyFont="1">
      <alignment shrinkToFit="0" vertical="bottom" wrapText="0"/>
    </xf>
    <xf borderId="0" fillId="14" fontId="11" numFmtId="0" xfId="0" applyFont="1"/>
    <xf borderId="0" fillId="14" fontId="8" numFmtId="0" xfId="0" applyAlignment="1" applyFont="1">
      <alignment shrinkToFit="0" vertical="bottom" wrapText="0"/>
    </xf>
    <xf borderId="0" fillId="14" fontId="7" numFmtId="0" xfId="0" applyAlignment="1" applyFont="1">
      <alignment readingOrder="0" shrinkToFit="0" vertical="bottom" wrapText="0"/>
    </xf>
    <xf borderId="0" fillId="14" fontId="10" numFmtId="0" xfId="0" applyAlignment="1" applyFont="1">
      <alignment readingOrder="0" shrinkToFit="0" vertical="bottom" wrapText="0"/>
    </xf>
    <xf borderId="0" fillId="14" fontId="19" numFmtId="0" xfId="0" applyAlignment="1" applyFont="1">
      <alignment horizontal="center" readingOrder="0" vertical="bottom"/>
    </xf>
    <xf borderId="0" fillId="14" fontId="32" numFmtId="0" xfId="0" applyAlignment="1" applyFont="1">
      <alignment readingOrder="0" shrinkToFit="0" vertical="bottom" wrapText="0"/>
    </xf>
    <xf borderId="0" fillId="14" fontId="34" numFmtId="0" xfId="0" applyAlignment="1" applyFont="1">
      <alignment readingOrder="0" vertical="bottom"/>
    </xf>
    <xf borderId="0" fillId="14" fontId="32" numFmtId="0" xfId="0" applyAlignment="1" applyFont="1">
      <alignment shrinkToFit="0" vertical="bottom" wrapText="0"/>
    </xf>
    <xf borderId="0" fillId="14" fontId="33" numFmtId="0" xfId="0" applyAlignment="1" applyFont="1">
      <alignment readingOrder="0"/>
    </xf>
    <xf borderId="0" fillId="14" fontId="6" numFmtId="0" xfId="0" applyAlignment="1" applyFont="1">
      <alignment readingOrder="0"/>
    </xf>
    <xf borderId="0" fillId="14" fontId="15" numFmtId="0" xfId="0" applyAlignment="1" applyFont="1">
      <alignment readingOrder="0"/>
    </xf>
    <xf borderId="0" fillId="14" fontId="20" numFmtId="0" xfId="0" applyAlignment="1" applyFont="1">
      <alignment vertical="bottom"/>
    </xf>
    <xf borderId="0" fillId="14" fontId="20" numFmtId="0" xfId="0" applyAlignment="1" applyFont="1">
      <alignment readingOrder="0" vertical="bottom"/>
    </xf>
    <xf borderId="0" fillId="14" fontId="9" numFmtId="0" xfId="0" applyAlignment="1" applyFont="1">
      <alignment vertical="bottom"/>
    </xf>
    <xf borderId="0" fillId="14" fontId="20" numFmtId="0" xfId="0" applyAlignment="1" applyFont="1">
      <alignment horizontal="center" vertical="bottom"/>
    </xf>
    <xf borderId="0" fillId="14" fontId="9" numFmtId="0" xfId="0" applyAlignment="1" applyFont="1">
      <alignment vertical="bottom"/>
    </xf>
    <xf borderId="0" fillId="14" fontId="7" numFmtId="0" xfId="0" applyAlignment="1" applyFont="1">
      <alignment vertical="bottom"/>
    </xf>
    <xf borderId="0" fillId="0" fontId="20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14" fontId="9" numFmtId="0" xfId="0" applyAlignment="1" applyFont="1">
      <alignment readingOrder="0" vertical="bottom"/>
    </xf>
    <xf borderId="0" fillId="14" fontId="10" numFmtId="0" xfId="0" applyAlignment="1" applyFont="1">
      <alignment vertical="bottom"/>
    </xf>
    <xf borderId="0" fillId="14" fontId="19" numFmtId="0" xfId="0" applyAlignment="1" applyFont="1">
      <alignment horizontal="center" vertical="bottom"/>
    </xf>
    <xf borderId="0" fillId="14" fontId="18" numFmtId="0" xfId="0" applyAlignment="1" applyFont="1">
      <alignment vertical="bottom"/>
    </xf>
    <xf borderId="0" fillId="14" fontId="10" numFmtId="0" xfId="0" applyAlignment="1" applyFont="1">
      <alignment horizontal="center" vertical="bottom"/>
    </xf>
    <xf borderId="0" fillId="8" fontId="30" numFmtId="0" xfId="0" applyAlignment="1" applyFont="1">
      <alignment horizontal="right" readingOrder="0"/>
    </xf>
    <xf borderId="0" fillId="0" fontId="12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vertical="bottom"/>
    </xf>
    <xf borderId="0" fillId="6" fontId="20" numFmtId="0" xfId="0" applyAlignment="1" applyFont="1">
      <alignment vertical="bottom"/>
    </xf>
    <xf borderId="0" fillId="10" fontId="20" numFmtId="0" xfId="0" applyAlignment="1" applyFont="1">
      <alignment vertical="bottom"/>
    </xf>
    <xf borderId="0" fillId="10" fontId="20" numFmtId="0" xfId="0" applyAlignment="1" applyFont="1">
      <alignment horizontal="center" vertical="bottom"/>
    </xf>
    <xf borderId="0" fillId="8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8" fontId="9" numFmtId="0" xfId="0" applyAlignment="1" applyFont="1">
      <alignment vertical="bottom"/>
    </xf>
    <xf borderId="0" fillId="8" fontId="19" numFmtId="0" xfId="0" applyAlignment="1" applyFont="1">
      <alignment horizontal="center" readingOrder="0" vertical="bottom"/>
    </xf>
    <xf borderId="0" fillId="6" fontId="10" numFmtId="0" xfId="0" applyAlignment="1" applyFont="1">
      <alignment readingOrder="0" shrinkToFit="0" vertical="bottom" wrapText="0"/>
    </xf>
    <xf borderId="1" fillId="0" fontId="13" numFmtId="0" xfId="0" applyAlignment="1" applyBorder="1" applyFont="1">
      <alignment readingOrder="0" vertical="bottom"/>
    </xf>
    <xf borderId="1" fillId="8" fontId="13" numFmtId="0" xfId="0" applyAlignment="1" applyBorder="1" applyFont="1">
      <alignment vertical="bottom"/>
    </xf>
    <xf borderId="0" fillId="11" fontId="18" numFmtId="0" xfId="0" applyAlignment="1" applyFont="1">
      <alignment vertical="bottom"/>
    </xf>
    <xf borderId="0" fillId="0" fontId="18" numFmtId="0" xfId="0" applyAlignment="1" applyFont="1">
      <alignment vertical="bottom"/>
    </xf>
    <xf borderId="0" fillId="0" fontId="22" numFmtId="0" xfId="0" applyFont="1"/>
    <xf borderId="0" fillId="8" fontId="23" numFmtId="0" xfId="0" applyAlignment="1" applyFont="1">
      <alignment horizontal="center" readingOrder="0"/>
    </xf>
    <xf borderId="0" fillId="15" fontId="4" numFmtId="0" xfId="0" applyAlignment="1" applyFill="1" applyFont="1">
      <alignment horizontal="left" readingOrder="0"/>
    </xf>
    <xf borderId="0" fillId="15" fontId="4" numFmtId="0" xfId="0" applyAlignment="1" applyFont="1">
      <alignment readingOrder="0"/>
    </xf>
    <xf borderId="0" fillId="15" fontId="8" numFmtId="0" xfId="0" applyAlignment="1" applyFont="1">
      <alignment readingOrder="0" shrinkToFit="0" vertical="bottom" wrapText="0"/>
    </xf>
    <xf borderId="0" fillId="15" fontId="11" numFmtId="0" xfId="0" applyFont="1"/>
    <xf borderId="0" fillId="15" fontId="8" numFmtId="0" xfId="0" applyAlignment="1" applyFont="1">
      <alignment shrinkToFit="0" vertical="bottom" wrapText="0"/>
    </xf>
    <xf borderId="0" fillId="11" fontId="9" numFmtId="0" xfId="0" applyAlignment="1" applyFont="1">
      <alignment readingOrder="0" shrinkToFit="0" vertical="bottom" wrapText="0"/>
    </xf>
    <xf borderId="0" fillId="10" fontId="11" numFmtId="0" xfId="0" applyAlignment="1" applyFont="1">
      <alignment readingOrder="0"/>
    </xf>
    <xf borderId="0" fillId="10" fontId="8" numFmtId="0" xfId="0" applyAlignment="1" applyFont="1">
      <alignment readingOrder="0" shrinkToFit="0" vertical="bottom" wrapText="0"/>
    </xf>
    <xf borderId="0" fillId="10" fontId="11" numFmtId="0" xfId="0" applyFont="1"/>
    <xf borderId="0" fillId="10" fontId="10" numFmtId="0" xfId="0" applyAlignment="1" applyFont="1">
      <alignment readingOrder="0" shrinkToFit="0" vertical="bottom" wrapText="0"/>
    </xf>
    <xf borderId="0" fillId="10" fontId="8" numFmtId="0" xfId="0" applyAlignment="1" applyFont="1">
      <alignment shrinkToFit="0" vertical="bottom" wrapText="0"/>
    </xf>
    <xf borderId="0" fillId="15" fontId="11" numFmtId="0" xfId="0" applyAlignment="1" applyFont="1">
      <alignment readingOrder="0"/>
    </xf>
    <xf borderId="0" fillId="15" fontId="7" numFmtId="0" xfId="0" applyAlignment="1" applyFont="1">
      <alignment readingOrder="0" shrinkToFit="0" vertical="bottom" wrapText="0"/>
    </xf>
    <xf borderId="0" fillId="15" fontId="10" numFmtId="0" xfId="0" applyAlignment="1" applyFont="1">
      <alignment readingOrder="0" shrinkToFit="0" vertical="bottom" wrapText="0"/>
    </xf>
    <xf borderId="0" fillId="16" fontId="4" numFmtId="0" xfId="0" applyAlignment="1" applyFill="1" applyFont="1">
      <alignment horizontal="left" readingOrder="0"/>
    </xf>
    <xf borderId="0" fillId="16" fontId="4" numFmtId="0" xfId="0" applyAlignment="1" applyFont="1">
      <alignment readingOrder="0"/>
    </xf>
    <xf borderId="0" fillId="16" fontId="13" numFmtId="0" xfId="0" applyAlignment="1" applyFont="1">
      <alignment vertical="bottom"/>
    </xf>
    <xf borderId="0" fillId="16" fontId="11" numFmtId="0" xfId="0" applyFont="1"/>
    <xf borderId="0" fillId="16" fontId="24" numFmtId="0" xfId="0" applyAlignment="1" applyFont="1">
      <alignment vertical="bottom"/>
    </xf>
    <xf borderId="0" fillId="16" fontId="16" numFmtId="0" xfId="0" applyAlignment="1" applyFont="1">
      <alignment readingOrder="0" shrinkToFit="0" vertical="bottom" wrapText="0"/>
    </xf>
    <xf borderId="0" fillId="16" fontId="8" numFmtId="0" xfId="0" applyAlignment="1" applyFont="1">
      <alignment readingOrder="0" shrinkToFit="0" vertical="bottom" wrapText="0"/>
    </xf>
    <xf borderId="0" fillId="16" fontId="10" numFmtId="0" xfId="0" applyAlignment="1" applyFont="1">
      <alignment readingOrder="0" shrinkToFit="0" vertical="bottom" wrapText="0"/>
    </xf>
    <xf borderId="1" fillId="16" fontId="24" numFmtId="0" xfId="0" applyAlignment="1" applyBorder="1" applyFont="1">
      <alignment vertical="bottom"/>
    </xf>
    <xf borderId="0" fillId="17" fontId="4" numFmtId="0" xfId="0" applyAlignment="1" applyFill="1" applyFont="1">
      <alignment horizontal="left" readingOrder="0"/>
    </xf>
    <xf borderId="0" fillId="17" fontId="4" numFmtId="0" xfId="0" applyAlignment="1" applyFont="1">
      <alignment readingOrder="0"/>
    </xf>
    <xf borderId="0" fillId="17" fontId="8" numFmtId="0" xfId="0" applyAlignment="1" applyFont="1">
      <alignment readingOrder="0" shrinkToFit="0" vertical="bottom" wrapText="0"/>
    </xf>
    <xf borderId="0" fillId="17" fontId="11" numFmtId="0" xfId="0" applyFont="1"/>
    <xf borderId="0" fillId="17" fontId="10" numFmtId="0" xfId="0" applyAlignment="1" applyFont="1">
      <alignment readingOrder="0" shrinkToFit="0" vertical="bottom" wrapText="0"/>
    </xf>
    <xf borderId="0" fillId="17" fontId="8" numFmtId="0" xfId="0" applyAlignment="1" applyFont="1">
      <alignment shrinkToFit="0" vertical="bottom" wrapText="0"/>
    </xf>
    <xf borderId="0" fillId="17" fontId="20" numFmtId="0" xfId="0" applyAlignment="1" applyFont="1">
      <alignment readingOrder="0"/>
    </xf>
    <xf borderId="0" fillId="0" fontId="20" numFmtId="0" xfId="0" applyAlignment="1" applyFont="1">
      <alignment readingOrder="0"/>
    </xf>
    <xf borderId="0" fillId="8" fontId="4" numFmtId="0" xfId="0" applyAlignment="1" applyFont="1">
      <alignment horizontal="left" readingOrder="0"/>
    </xf>
    <xf borderId="1" fillId="8" fontId="11" numFmtId="0" xfId="0" applyAlignment="1" applyBorder="1" applyFont="1">
      <alignment readingOrder="0"/>
    </xf>
    <xf borderId="0" fillId="8" fontId="13" numFmtId="0" xfId="0" applyAlignment="1" applyFont="1">
      <alignment readingOrder="0" vertical="bottom"/>
    </xf>
    <xf borderId="0" fillId="8" fontId="18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6" fontId="9" numFmtId="0" xfId="0" applyAlignment="1" applyFont="1">
      <alignment readingOrder="0" vertical="bottom"/>
    </xf>
    <xf borderId="2" fillId="8" fontId="12" numFmtId="0" xfId="0" applyAlignment="1" applyBorder="1" applyFont="1">
      <alignment vertical="bottom"/>
    </xf>
    <xf borderId="2" fillId="8" fontId="13" numFmtId="0" xfId="0" applyAlignment="1" applyBorder="1" applyFont="1">
      <alignment vertical="bottom"/>
    </xf>
    <xf borderId="0" fillId="8" fontId="20" numFmtId="0" xfId="0" applyAlignment="1" applyFont="1">
      <alignment readingOrder="0" shrinkToFit="0" vertical="bottom" wrapText="0"/>
    </xf>
    <xf borderId="0" fillId="8" fontId="32" numFmtId="0" xfId="0" applyAlignment="1" applyFont="1">
      <alignment readingOrder="0" shrinkToFit="0" vertical="bottom" wrapText="0"/>
    </xf>
    <xf borderId="0" fillId="8" fontId="31" numFmtId="0" xfId="0" applyAlignment="1" applyFont="1">
      <alignment readingOrder="0"/>
    </xf>
    <xf borderId="0" fillId="8" fontId="32" numFmtId="0" xfId="0" applyAlignment="1" applyFont="1">
      <alignment shrinkToFit="0" vertical="bottom" wrapText="0"/>
    </xf>
    <xf borderId="0" fillId="10" fontId="4" numFmtId="0" xfId="0" applyFont="1"/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35" numFmtId="0" xfId="0" applyAlignment="1" applyFont="1">
      <alignment readingOrder="0"/>
    </xf>
    <xf borderId="0" fillId="8" fontId="11" numFmtId="0" xfId="0" applyAlignment="1" applyFont="1">
      <alignment horizontal="left" readingOrder="0" shrinkToFit="0" wrapText="1"/>
    </xf>
    <xf borderId="0" fillId="9" fontId="8" numFmtId="0" xfId="0" applyAlignment="1" applyFont="1">
      <alignment horizontal="left" readingOrder="0"/>
    </xf>
    <xf borderId="0" fillId="9" fontId="21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1"/>
    </xf>
    <xf borderId="3" fillId="0" fontId="12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readingOrder="0" shrinkToFit="0" wrapText="1"/>
    </xf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07" Type="http://schemas.openxmlformats.org/officeDocument/2006/relationships/worksheet" Target="worksheets/sheet104.xml"/><Relationship Id="rId106" Type="http://schemas.openxmlformats.org/officeDocument/2006/relationships/worksheet" Target="worksheets/sheet103.xml"/><Relationship Id="rId105" Type="http://schemas.openxmlformats.org/officeDocument/2006/relationships/worksheet" Target="worksheets/sheet102.xml"/><Relationship Id="rId104" Type="http://schemas.openxmlformats.org/officeDocument/2006/relationships/worksheet" Target="worksheets/sheet101.xml"/><Relationship Id="rId109" Type="http://schemas.openxmlformats.org/officeDocument/2006/relationships/worksheet" Target="worksheets/sheet106.xml"/><Relationship Id="rId108" Type="http://schemas.openxmlformats.org/officeDocument/2006/relationships/worksheet" Target="worksheets/sheet105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103" Type="http://schemas.openxmlformats.org/officeDocument/2006/relationships/worksheet" Target="worksheets/sheet100.xml"/><Relationship Id="rId102" Type="http://schemas.openxmlformats.org/officeDocument/2006/relationships/worksheet" Target="worksheets/sheet99.xml"/><Relationship Id="rId101" Type="http://schemas.openxmlformats.org/officeDocument/2006/relationships/worksheet" Target="worksheets/sheet98.xml"/><Relationship Id="rId100" Type="http://schemas.openxmlformats.org/officeDocument/2006/relationships/worksheet" Target="worksheets/sheet97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29" Type="http://schemas.openxmlformats.org/officeDocument/2006/relationships/worksheet" Target="worksheets/sheet126.xml"/><Relationship Id="rId128" Type="http://schemas.openxmlformats.org/officeDocument/2006/relationships/worksheet" Target="worksheets/sheet125.xml"/><Relationship Id="rId127" Type="http://schemas.openxmlformats.org/officeDocument/2006/relationships/worksheet" Target="worksheets/sheet124.xml"/><Relationship Id="rId126" Type="http://schemas.openxmlformats.org/officeDocument/2006/relationships/worksheet" Target="worksheets/sheet123.xml"/><Relationship Id="rId26" Type="http://schemas.openxmlformats.org/officeDocument/2006/relationships/worksheet" Target="worksheets/sheet23.xml"/><Relationship Id="rId121" Type="http://schemas.openxmlformats.org/officeDocument/2006/relationships/worksheet" Target="worksheets/sheet118.xml"/><Relationship Id="rId25" Type="http://schemas.openxmlformats.org/officeDocument/2006/relationships/worksheet" Target="worksheets/sheet22.xml"/><Relationship Id="rId120" Type="http://schemas.openxmlformats.org/officeDocument/2006/relationships/worksheet" Target="worksheets/sheet117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125" Type="http://schemas.openxmlformats.org/officeDocument/2006/relationships/worksheet" Target="worksheets/sheet122.xml"/><Relationship Id="rId29" Type="http://schemas.openxmlformats.org/officeDocument/2006/relationships/worksheet" Target="worksheets/sheet26.xml"/><Relationship Id="rId124" Type="http://schemas.openxmlformats.org/officeDocument/2006/relationships/worksheet" Target="worksheets/sheet121.xml"/><Relationship Id="rId123" Type="http://schemas.openxmlformats.org/officeDocument/2006/relationships/worksheet" Target="worksheets/sheet120.xml"/><Relationship Id="rId122" Type="http://schemas.openxmlformats.org/officeDocument/2006/relationships/worksheet" Target="worksheets/sheet119.xml"/><Relationship Id="rId95" Type="http://schemas.openxmlformats.org/officeDocument/2006/relationships/worksheet" Target="worksheets/sheet92.xml"/><Relationship Id="rId94" Type="http://schemas.openxmlformats.org/officeDocument/2006/relationships/worksheet" Target="worksheets/sheet91.xml"/><Relationship Id="rId97" Type="http://schemas.openxmlformats.org/officeDocument/2006/relationships/worksheet" Target="worksheets/sheet94.xml"/><Relationship Id="rId96" Type="http://schemas.openxmlformats.org/officeDocument/2006/relationships/worksheet" Target="worksheets/sheet93.xml"/><Relationship Id="rId11" Type="http://schemas.openxmlformats.org/officeDocument/2006/relationships/worksheet" Target="worksheets/sheet8.xml"/><Relationship Id="rId99" Type="http://schemas.openxmlformats.org/officeDocument/2006/relationships/worksheet" Target="worksheets/sheet96.xml"/><Relationship Id="rId10" Type="http://schemas.openxmlformats.org/officeDocument/2006/relationships/worksheet" Target="worksheets/sheet7.xml"/><Relationship Id="rId98" Type="http://schemas.openxmlformats.org/officeDocument/2006/relationships/worksheet" Target="worksheets/sheet95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18" Type="http://schemas.openxmlformats.org/officeDocument/2006/relationships/worksheet" Target="worksheets/sheet115.xml"/><Relationship Id="rId117" Type="http://schemas.openxmlformats.org/officeDocument/2006/relationships/worksheet" Target="worksheets/sheet114.xml"/><Relationship Id="rId116" Type="http://schemas.openxmlformats.org/officeDocument/2006/relationships/worksheet" Target="worksheets/sheet113.xml"/><Relationship Id="rId115" Type="http://schemas.openxmlformats.org/officeDocument/2006/relationships/worksheet" Target="worksheets/sheet112.xml"/><Relationship Id="rId119" Type="http://schemas.openxmlformats.org/officeDocument/2006/relationships/worksheet" Target="worksheets/sheet116.xml"/><Relationship Id="rId15" Type="http://schemas.openxmlformats.org/officeDocument/2006/relationships/worksheet" Target="worksheets/sheet12.xml"/><Relationship Id="rId110" Type="http://schemas.openxmlformats.org/officeDocument/2006/relationships/worksheet" Target="worksheets/sheet107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14" Type="http://schemas.openxmlformats.org/officeDocument/2006/relationships/worksheet" Target="worksheets/sheet111.xml"/><Relationship Id="rId18" Type="http://schemas.openxmlformats.org/officeDocument/2006/relationships/worksheet" Target="worksheets/sheet15.xml"/><Relationship Id="rId113" Type="http://schemas.openxmlformats.org/officeDocument/2006/relationships/worksheet" Target="worksheets/sheet110.xml"/><Relationship Id="rId112" Type="http://schemas.openxmlformats.org/officeDocument/2006/relationships/worksheet" Target="worksheets/sheet109.xml"/><Relationship Id="rId111" Type="http://schemas.openxmlformats.org/officeDocument/2006/relationships/worksheet" Target="worksheets/sheet108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86" Type="http://schemas.openxmlformats.org/officeDocument/2006/relationships/worksheet" Target="worksheets/sheet83.xml"/><Relationship Id="rId85" Type="http://schemas.openxmlformats.org/officeDocument/2006/relationships/worksheet" Target="worksheets/sheet82.xml"/><Relationship Id="rId88" Type="http://schemas.openxmlformats.org/officeDocument/2006/relationships/worksheet" Target="worksheets/sheet85.xml"/><Relationship Id="rId87" Type="http://schemas.openxmlformats.org/officeDocument/2006/relationships/worksheet" Target="worksheets/sheet84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2" Type="http://schemas.openxmlformats.org/officeDocument/2006/relationships/worksheet" Target="worksheets/sheet139.xml"/><Relationship Id="rId141" Type="http://schemas.openxmlformats.org/officeDocument/2006/relationships/worksheet" Target="worksheets/sheet138.xml"/><Relationship Id="rId140" Type="http://schemas.openxmlformats.org/officeDocument/2006/relationships/worksheet" Target="worksheets/sheet137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75" Type="http://schemas.openxmlformats.org/officeDocument/2006/relationships/worksheet" Target="worksheets/sheet72.xml"/><Relationship Id="rId74" Type="http://schemas.openxmlformats.org/officeDocument/2006/relationships/worksheet" Target="worksheets/sheet71.xml"/><Relationship Id="rId77" Type="http://schemas.openxmlformats.org/officeDocument/2006/relationships/worksheet" Target="worksheets/sheet74.xml"/><Relationship Id="rId76" Type="http://schemas.openxmlformats.org/officeDocument/2006/relationships/worksheet" Target="worksheets/sheet73.xml"/><Relationship Id="rId79" Type="http://schemas.openxmlformats.org/officeDocument/2006/relationships/worksheet" Target="worksheets/sheet76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139" Type="http://schemas.openxmlformats.org/officeDocument/2006/relationships/worksheet" Target="worksheets/sheet136.xml"/><Relationship Id="rId138" Type="http://schemas.openxmlformats.org/officeDocument/2006/relationships/worksheet" Target="worksheets/sheet135.xml"/><Relationship Id="rId137" Type="http://schemas.openxmlformats.org/officeDocument/2006/relationships/worksheet" Target="worksheets/sheet134.xml"/><Relationship Id="rId132" Type="http://schemas.openxmlformats.org/officeDocument/2006/relationships/worksheet" Target="worksheets/sheet129.xml"/><Relationship Id="rId131" Type="http://schemas.openxmlformats.org/officeDocument/2006/relationships/worksheet" Target="worksheets/sheet128.xml"/><Relationship Id="rId130" Type="http://schemas.openxmlformats.org/officeDocument/2006/relationships/worksheet" Target="worksheets/sheet127.xml"/><Relationship Id="rId136" Type="http://schemas.openxmlformats.org/officeDocument/2006/relationships/worksheet" Target="worksheets/sheet133.xml"/><Relationship Id="rId135" Type="http://schemas.openxmlformats.org/officeDocument/2006/relationships/worksheet" Target="worksheets/sheet132.xml"/><Relationship Id="rId134" Type="http://schemas.openxmlformats.org/officeDocument/2006/relationships/worksheet" Target="worksheets/sheet131.xml"/><Relationship Id="rId133" Type="http://schemas.openxmlformats.org/officeDocument/2006/relationships/worksheet" Target="worksheets/sheet130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66" Type="http://schemas.openxmlformats.org/officeDocument/2006/relationships/worksheet" Target="worksheets/sheet63.xml"/><Relationship Id="rId65" Type="http://schemas.openxmlformats.org/officeDocument/2006/relationships/worksheet" Target="worksheets/sheet62.xml"/><Relationship Id="rId68" Type="http://schemas.openxmlformats.org/officeDocument/2006/relationships/worksheet" Target="worksheets/sheet65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69" Type="http://schemas.openxmlformats.org/officeDocument/2006/relationships/worksheet" Target="worksheets/sheet6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55" Type="http://schemas.openxmlformats.org/officeDocument/2006/relationships/worksheet" Target="worksheets/sheet52.xml"/><Relationship Id="rId54" Type="http://schemas.openxmlformats.org/officeDocument/2006/relationships/worksheet" Target="worksheets/sheet51.xml"/><Relationship Id="rId57" Type="http://schemas.openxmlformats.org/officeDocument/2006/relationships/worksheet" Target="worksheets/sheet54.xml"/><Relationship Id="rId56" Type="http://schemas.openxmlformats.org/officeDocument/2006/relationships/worksheet" Target="worksheets/sheet53.xml"/><Relationship Id="rId59" Type="http://schemas.openxmlformats.org/officeDocument/2006/relationships/worksheet" Target="worksheets/sheet56.xml"/><Relationship Id="rId58" Type="http://schemas.openxmlformats.org/officeDocument/2006/relationships/worksheet" Target="worksheets/sheet5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24.63"/>
    <col customWidth="1" min="3" max="3" width="49.63"/>
    <col customWidth="1" min="4" max="4" width="12.88"/>
    <col customWidth="1" min="5" max="5" width="34.88"/>
    <col customWidth="1" min="6" max="6" width="15.13"/>
    <col customWidth="1" min="7" max="7" width="33.38"/>
    <col customWidth="1" min="8" max="8" width="29.88"/>
    <col customWidth="1" min="9" max="10" width="16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4" t="s">
        <v>10</v>
      </c>
      <c r="B2" s="5" t="s">
        <v>11</v>
      </c>
      <c r="C2" s="6" t="s">
        <v>12</v>
      </c>
      <c r="D2" s="6" t="s">
        <v>12</v>
      </c>
      <c r="E2" s="7" t="s">
        <v>13</v>
      </c>
      <c r="F2" s="8">
        <f t="shared" ref="F2:F3" si="1">counta(I2:J2)</f>
        <v>2</v>
      </c>
      <c r="G2" s="6" t="s">
        <v>12</v>
      </c>
      <c r="H2" s="6"/>
      <c r="I2" s="7" t="s">
        <v>14</v>
      </c>
      <c r="J2" s="7" t="s">
        <v>14</v>
      </c>
    </row>
    <row r="3">
      <c r="A3" s="5"/>
      <c r="B3" s="5" t="s">
        <v>11</v>
      </c>
      <c r="C3" s="9" t="s">
        <v>15</v>
      </c>
      <c r="D3" s="6" t="s">
        <v>16</v>
      </c>
      <c r="E3" s="10" t="s">
        <v>17</v>
      </c>
      <c r="F3" s="8">
        <f t="shared" si="1"/>
        <v>2</v>
      </c>
      <c r="G3" s="6" t="s">
        <v>18</v>
      </c>
      <c r="H3" s="9"/>
      <c r="I3" s="7" t="s">
        <v>19</v>
      </c>
      <c r="J3" s="7" t="s">
        <v>19</v>
      </c>
    </row>
    <row r="4">
      <c r="A4" s="11"/>
      <c r="B4" s="11"/>
      <c r="C4" s="12"/>
      <c r="D4" s="12"/>
      <c r="E4" s="13"/>
      <c r="F4" s="14"/>
      <c r="G4" s="12"/>
      <c r="H4" s="12"/>
      <c r="I4" s="15"/>
      <c r="J4" s="15"/>
    </row>
    <row r="5">
      <c r="A5" s="4" t="s">
        <v>10</v>
      </c>
      <c r="B5" s="4" t="s">
        <v>20</v>
      </c>
      <c r="C5" s="6" t="s">
        <v>21</v>
      </c>
      <c r="D5" s="6" t="s">
        <v>16</v>
      </c>
      <c r="E5" s="16" t="s">
        <v>22</v>
      </c>
      <c r="F5" s="8">
        <f t="shared" ref="F5:F50" si="2">counta(I5:J5)</f>
        <v>2</v>
      </c>
      <c r="G5" s="6" t="s">
        <v>23</v>
      </c>
      <c r="H5" s="6"/>
      <c r="I5" s="17" t="s">
        <v>24</v>
      </c>
      <c r="J5" s="17" t="s">
        <v>24</v>
      </c>
    </row>
    <row r="6">
      <c r="A6" s="4"/>
      <c r="B6" s="4" t="s">
        <v>20</v>
      </c>
      <c r="C6" s="6" t="s">
        <v>25</v>
      </c>
      <c r="D6" s="6" t="s">
        <v>26</v>
      </c>
      <c r="E6" s="17" t="s">
        <v>27</v>
      </c>
      <c r="F6" s="8">
        <f t="shared" si="2"/>
        <v>2</v>
      </c>
      <c r="G6" s="6" t="s">
        <v>28</v>
      </c>
      <c r="H6" s="6"/>
      <c r="I6" s="18" t="s">
        <v>29</v>
      </c>
      <c r="J6" s="17" t="s">
        <v>29</v>
      </c>
    </row>
    <row r="7">
      <c r="A7" s="4"/>
      <c r="B7" s="4" t="s">
        <v>20</v>
      </c>
      <c r="C7" s="6" t="s">
        <v>30</v>
      </c>
      <c r="D7" s="6" t="s">
        <v>31</v>
      </c>
      <c r="E7" s="17" t="s">
        <v>32</v>
      </c>
      <c r="F7" s="8">
        <f t="shared" si="2"/>
        <v>2</v>
      </c>
      <c r="G7" s="6" t="s">
        <v>33</v>
      </c>
      <c r="H7" s="6"/>
      <c r="I7" s="18" t="s">
        <v>34</v>
      </c>
      <c r="J7" s="17" t="s">
        <v>34</v>
      </c>
    </row>
    <row r="8">
      <c r="A8" s="4"/>
      <c r="B8" s="4" t="s">
        <v>20</v>
      </c>
      <c r="C8" s="6" t="s">
        <v>35</v>
      </c>
      <c r="D8" s="6" t="s">
        <v>16</v>
      </c>
      <c r="E8" s="17" t="s">
        <v>36</v>
      </c>
      <c r="F8" s="8">
        <f t="shared" si="2"/>
        <v>1</v>
      </c>
      <c r="G8" s="6" t="s">
        <v>37</v>
      </c>
      <c r="H8" s="6"/>
      <c r="I8" s="19"/>
      <c r="J8" s="17" t="s">
        <v>38</v>
      </c>
    </row>
    <row r="9">
      <c r="A9" s="4"/>
      <c r="B9" s="4" t="s">
        <v>20</v>
      </c>
      <c r="C9" s="6" t="s">
        <v>39</v>
      </c>
      <c r="D9" s="6" t="s">
        <v>40</v>
      </c>
      <c r="E9" s="17" t="s">
        <v>41</v>
      </c>
      <c r="F9" s="8">
        <f t="shared" si="2"/>
        <v>1</v>
      </c>
      <c r="G9" s="6" t="s">
        <v>42</v>
      </c>
      <c r="H9" s="6"/>
      <c r="I9" s="20"/>
      <c r="J9" s="17" t="s">
        <v>43</v>
      </c>
    </row>
    <row r="10">
      <c r="A10" s="4"/>
      <c r="B10" s="4" t="s">
        <v>20</v>
      </c>
      <c r="C10" s="6" t="s">
        <v>44</v>
      </c>
      <c r="D10" s="6" t="s">
        <v>40</v>
      </c>
      <c r="E10" s="17" t="s">
        <v>45</v>
      </c>
      <c r="F10" s="8">
        <f t="shared" si="2"/>
        <v>1</v>
      </c>
      <c r="G10" s="6" t="s">
        <v>46</v>
      </c>
      <c r="H10" s="6"/>
      <c r="I10" s="21"/>
      <c r="J10" s="17" t="s">
        <v>47</v>
      </c>
    </row>
    <row r="11">
      <c r="A11" s="4"/>
      <c r="B11" s="4" t="s">
        <v>20</v>
      </c>
      <c r="C11" s="6" t="s">
        <v>48</v>
      </c>
      <c r="D11" s="6" t="s">
        <v>40</v>
      </c>
      <c r="E11" s="17" t="s">
        <v>49</v>
      </c>
      <c r="F11" s="8">
        <f t="shared" si="2"/>
        <v>1</v>
      </c>
      <c r="G11" s="6" t="s">
        <v>50</v>
      </c>
      <c r="H11" s="6"/>
      <c r="I11" s="17" t="s">
        <v>51</v>
      </c>
      <c r="J11" s="17"/>
    </row>
    <row r="12">
      <c r="A12" s="4"/>
      <c r="B12" s="4" t="s">
        <v>20</v>
      </c>
      <c r="C12" s="6" t="s">
        <v>52</v>
      </c>
      <c r="D12" s="6" t="s">
        <v>40</v>
      </c>
      <c r="E12" s="22" t="s">
        <v>53</v>
      </c>
      <c r="F12" s="8">
        <f t="shared" si="2"/>
        <v>2</v>
      </c>
      <c r="G12" s="6" t="s">
        <v>54</v>
      </c>
      <c r="H12" s="6"/>
      <c r="I12" s="23" t="s">
        <v>55</v>
      </c>
      <c r="J12" s="17" t="s">
        <v>56</v>
      </c>
    </row>
    <row r="13">
      <c r="A13" s="4"/>
      <c r="B13" s="4" t="s">
        <v>20</v>
      </c>
      <c r="C13" s="6" t="s">
        <v>57</v>
      </c>
      <c r="D13" s="6" t="s">
        <v>40</v>
      </c>
      <c r="E13" s="17" t="s">
        <v>58</v>
      </c>
      <c r="F13" s="8">
        <f t="shared" si="2"/>
        <v>2</v>
      </c>
      <c r="G13" s="6" t="s">
        <v>59</v>
      </c>
      <c r="H13" s="6"/>
      <c r="I13" s="17" t="s">
        <v>60</v>
      </c>
      <c r="J13" s="17" t="s">
        <v>61</v>
      </c>
    </row>
    <row r="14">
      <c r="A14" s="4"/>
      <c r="B14" s="4" t="s">
        <v>20</v>
      </c>
      <c r="C14" s="6" t="s">
        <v>62</v>
      </c>
      <c r="D14" s="6" t="s">
        <v>40</v>
      </c>
      <c r="E14" s="17" t="s">
        <v>63</v>
      </c>
      <c r="F14" s="8">
        <f t="shared" si="2"/>
        <v>2</v>
      </c>
      <c r="G14" s="6" t="s">
        <v>64</v>
      </c>
      <c r="H14" s="6"/>
      <c r="I14" s="17" t="s">
        <v>65</v>
      </c>
      <c r="J14" s="17" t="s">
        <v>66</v>
      </c>
    </row>
    <row r="15">
      <c r="A15" s="4"/>
      <c r="B15" s="4" t="s">
        <v>20</v>
      </c>
      <c r="C15" s="6" t="s">
        <v>67</v>
      </c>
      <c r="D15" s="6" t="s">
        <v>40</v>
      </c>
      <c r="E15" s="17" t="s">
        <v>68</v>
      </c>
      <c r="F15" s="8">
        <f t="shared" si="2"/>
        <v>2</v>
      </c>
      <c r="G15" s="6" t="s">
        <v>69</v>
      </c>
      <c r="H15" s="6"/>
      <c r="I15" s="17" t="s">
        <v>70</v>
      </c>
      <c r="J15" s="17" t="s">
        <v>71</v>
      </c>
    </row>
    <row r="16">
      <c r="A16" s="4"/>
      <c r="B16" s="4" t="s">
        <v>20</v>
      </c>
      <c r="C16" s="6" t="s">
        <v>72</v>
      </c>
      <c r="D16" s="6" t="s">
        <v>40</v>
      </c>
      <c r="E16" s="17" t="s">
        <v>73</v>
      </c>
      <c r="F16" s="8">
        <f t="shared" si="2"/>
        <v>2</v>
      </c>
      <c r="G16" s="6" t="s">
        <v>74</v>
      </c>
      <c r="H16" s="6"/>
      <c r="I16" s="17" t="s">
        <v>75</v>
      </c>
      <c r="J16" s="17" t="s">
        <v>76</v>
      </c>
    </row>
    <row r="17">
      <c r="A17" s="4"/>
      <c r="B17" s="4" t="s">
        <v>20</v>
      </c>
      <c r="C17" s="6" t="s">
        <v>77</v>
      </c>
      <c r="D17" s="6" t="s">
        <v>40</v>
      </c>
      <c r="E17" s="24" t="s">
        <v>78</v>
      </c>
      <c r="F17" s="8">
        <f t="shared" si="2"/>
        <v>2</v>
      </c>
      <c r="G17" s="6" t="s">
        <v>79</v>
      </c>
      <c r="H17" s="6"/>
      <c r="I17" s="17" t="s">
        <v>80</v>
      </c>
      <c r="J17" s="17" t="s">
        <v>81</v>
      </c>
    </row>
    <row r="18">
      <c r="A18" s="4"/>
      <c r="B18" s="4" t="s">
        <v>20</v>
      </c>
      <c r="C18" s="25" t="s">
        <v>82</v>
      </c>
      <c r="D18" s="6" t="s">
        <v>40</v>
      </c>
      <c r="E18" s="26" t="s">
        <v>83</v>
      </c>
      <c r="F18" s="8">
        <f t="shared" si="2"/>
        <v>1</v>
      </c>
      <c r="G18" s="6" t="s">
        <v>84</v>
      </c>
      <c r="H18" s="25"/>
      <c r="I18" s="23" t="s">
        <v>85</v>
      </c>
      <c r="J18" s="20"/>
    </row>
    <row r="19">
      <c r="A19" s="4"/>
      <c r="B19" s="4" t="s">
        <v>20</v>
      </c>
      <c r="C19" s="6" t="s">
        <v>86</v>
      </c>
      <c r="D19" s="6" t="s">
        <v>40</v>
      </c>
      <c r="E19" s="26" t="s">
        <v>87</v>
      </c>
      <c r="F19" s="8">
        <f t="shared" si="2"/>
        <v>1</v>
      </c>
      <c r="G19" s="6" t="s">
        <v>88</v>
      </c>
      <c r="H19" s="6"/>
      <c r="I19" s="23" t="s">
        <v>89</v>
      </c>
      <c r="J19" s="20"/>
    </row>
    <row r="20">
      <c r="A20" s="4"/>
      <c r="B20" s="4" t="s">
        <v>20</v>
      </c>
      <c r="C20" s="6" t="s">
        <v>90</v>
      </c>
      <c r="D20" s="6" t="s">
        <v>40</v>
      </c>
      <c r="E20" s="24" t="s">
        <v>91</v>
      </c>
      <c r="F20" s="8">
        <f t="shared" si="2"/>
        <v>2</v>
      </c>
      <c r="G20" s="6" t="s">
        <v>92</v>
      </c>
      <c r="H20" s="6"/>
      <c r="I20" s="17" t="s">
        <v>93</v>
      </c>
      <c r="J20" s="17" t="s">
        <v>94</v>
      </c>
    </row>
    <row r="21">
      <c r="A21" s="4"/>
      <c r="B21" s="4" t="s">
        <v>20</v>
      </c>
      <c r="C21" s="6" t="s">
        <v>95</v>
      </c>
      <c r="D21" s="6" t="s">
        <v>40</v>
      </c>
      <c r="E21" s="24" t="s">
        <v>96</v>
      </c>
      <c r="F21" s="8">
        <f t="shared" si="2"/>
        <v>2</v>
      </c>
      <c r="G21" s="6" t="s">
        <v>97</v>
      </c>
      <c r="H21" s="6"/>
      <c r="I21" s="17" t="s">
        <v>98</v>
      </c>
      <c r="J21" s="17" t="s">
        <v>99</v>
      </c>
    </row>
    <row r="22">
      <c r="A22" s="4"/>
      <c r="B22" s="4" t="s">
        <v>20</v>
      </c>
      <c r="C22" s="25" t="s">
        <v>100</v>
      </c>
      <c r="D22" s="6" t="s">
        <v>40</v>
      </c>
      <c r="E22" s="17" t="s">
        <v>101</v>
      </c>
      <c r="F22" s="8">
        <f t="shared" si="2"/>
        <v>2</v>
      </c>
      <c r="G22" s="6" t="s">
        <v>102</v>
      </c>
      <c r="H22" s="25"/>
      <c r="I22" s="17" t="s">
        <v>103</v>
      </c>
      <c r="J22" s="17" t="s">
        <v>104</v>
      </c>
    </row>
    <row r="23">
      <c r="A23" s="4"/>
      <c r="B23" s="4" t="s">
        <v>20</v>
      </c>
      <c r="C23" s="25" t="s">
        <v>105</v>
      </c>
      <c r="D23" s="6" t="s">
        <v>40</v>
      </c>
      <c r="E23" s="17" t="s">
        <v>106</v>
      </c>
      <c r="F23" s="8">
        <f t="shared" si="2"/>
        <v>2</v>
      </c>
      <c r="G23" s="6" t="s">
        <v>107</v>
      </c>
      <c r="H23" s="25"/>
      <c r="I23" s="17" t="s">
        <v>108</v>
      </c>
      <c r="J23" s="17" t="s">
        <v>109</v>
      </c>
    </row>
    <row r="24">
      <c r="A24" s="4"/>
      <c r="B24" s="4" t="s">
        <v>20</v>
      </c>
      <c r="C24" s="6" t="s">
        <v>110</v>
      </c>
      <c r="D24" s="6" t="s">
        <v>40</v>
      </c>
      <c r="E24" s="17" t="s">
        <v>111</v>
      </c>
      <c r="F24" s="8">
        <f t="shared" si="2"/>
        <v>1</v>
      </c>
      <c r="G24" s="6" t="s">
        <v>112</v>
      </c>
      <c r="H24" s="6"/>
      <c r="I24" s="20"/>
      <c r="J24" s="17" t="s">
        <v>113</v>
      </c>
    </row>
    <row r="25">
      <c r="A25" s="4"/>
      <c r="B25" s="4" t="s">
        <v>20</v>
      </c>
      <c r="C25" s="6" t="s">
        <v>114</v>
      </c>
      <c r="D25" s="6" t="s">
        <v>114</v>
      </c>
      <c r="E25" s="17" t="s">
        <v>115</v>
      </c>
      <c r="F25" s="8">
        <f t="shared" si="2"/>
        <v>2</v>
      </c>
      <c r="G25" s="6" t="s">
        <v>116</v>
      </c>
      <c r="H25" s="6"/>
      <c r="I25" s="17" t="s">
        <v>117</v>
      </c>
      <c r="J25" s="17" t="s">
        <v>118</v>
      </c>
    </row>
    <row r="26">
      <c r="A26" s="4"/>
      <c r="B26" s="4" t="s">
        <v>20</v>
      </c>
      <c r="C26" s="6" t="s">
        <v>119</v>
      </c>
      <c r="D26" s="6" t="s">
        <v>16</v>
      </c>
      <c r="E26" s="17" t="s">
        <v>120</v>
      </c>
      <c r="F26" s="8">
        <f t="shared" si="2"/>
        <v>2</v>
      </c>
      <c r="G26" s="6" t="s">
        <v>121</v>
      </c>
      <c r="H26" s="6"/>
      <c r="I26" s="17" t="s">
        <v>122</v>
      </c>
      <c r="J26" s="17" t="s">
        <v>123</v>
      </c>
    </row>
    <row r="27">
      <c r="A27" s="4"/>
      <c r="B27" s="4" t="s">
        <v>20</v>
      </c>
      <c r="C27" s="6" t="s">
        <v>124</v>
      </c>
      <c r="D27" s="6" t="s">
        <v>16</v>
      </c>
      <c r="E27" s="27" t="s">
        <v>125</v>
      </c>
      <c r="F27" s="8">
        <f t="shared" si="2"/>
        <v>1</v>
      </c>
      <c r="G27" s="6" t="s">
        <v>126</v>
      </c>
      <c r="H27" s="6"/>
      <c r="I27" s="28" t="s">
        <v>127</v>
      </c>
      <c r="J27" s="20"/>
    </row>
    <row r="28">
      <c r="A28" s="4"/>
      <c r="B28" s="4" t="s">
        <v>20</v>
      </c>
      <c r="C28" s="6" t="s">
        <v>128</v>
      </c>
      <c r="D28" s="6" t="s">
        <v>40</v>
      </c>
      <c r="E28" s="17" t="s">
        <v>129</v>
      </c>
      <c r="F28" s="8">
        <f t="shared" si="2"/>
        <v>1</v>
      </c>
      <c r="G28" s="6" t="s">
        <v>128</v>
      </c>
      <c r="H28" s="6"/>
      <c r="I28" s="20"/>
      <c r="J28" s="17" t="s">
        <v>130</v>
      </c>
    </row>
    <row r="29">
      <c r="A29" s="4"/>
      <c r="B29" s="4" t="s">
        <v>20</v>
      </c>
      <c r="C29" s="6" t="s">
        <v>131</v>
      </c>
      <c r="D29" s="6" t="s">
        <v>16</v>
      </c>
      <c r="E29" s="17" t="s">
        <v>132</v>
      </c>
      <c r="F29" s="8">
        <f t="shared" si="2"/>
        <v>1</v>
      </c>
      <c r="G29" s="6" t="s">
        <v>133</v>
      </c>
      <c r="H29" s="6"/>
      <c r="I29" s="20"/>
      <c r="J29" s="17" t="s">
        <v>134</v>
      </c>
    </row>
    <row r="30">
      <c r="A30" s="4"/>
      <c r="B30" s="4" t="s">
        <v>20</v>
      </c>
      <c r="C30" s="6" t="s">
        <v>135</v>
      </c>
      <c r="D30" s="6" t="s">
        <v>16</v>
      </c>
      <c r="E30" s="17" t="s">
        <v>136</v>
      </c>
      <c r="F30" s="8">
        <f t="shared" si="2"/>
        <v>1</v>
      </c>
      <c r="G30" s="6" t="s">
        <v>137</v>
      </c>
      <c r="H30" s="6"/>
      <c r="I30" s="20"/>
      <c r="J30" s="17" t="s">
        <v>138</v>
      </c>
    </row>
    <row r="31">
      <c r="A31" s="4"/>
      <c r="B31" s="4" t="s">
        <v>20</v>
      </c>
      <c r="C31" s="6" t="s">
        <v>139</v>
      </c>
      <c r="D31" s="6" t="s">
        <v>26</v>
      </c>
      <c r="E31" s="17" t="s">
        <v>140</v>
      </c>
      <c r="F31" s="8">
        <f t="shared" si="2"/>
        <v>2</v>
      </c>
      <c r="G31" s="6" t="s">
        <v>141</v>
      </c>
      <c r="H31" s="6"/>
      <c r="I31" s="17" t="s">
        <v>142</v>
      </c>
      <c r="J31" s="17" t="s">
        <v>143</v>
      </c>
    </row>
    <row r="32">
      <c r="A32" s="4"/>
      <c r="B32" s="4" t="s">
        <v>20</v>
      </c>
      <c r="C32" s="6" t="s">
        <v>144</v>
      </c>
      <c r="D32" s="6" t="s">
        <v>145</v>
      </c>
      <c r="E32" s="17" t="s">
        <v>146</v>
      </c>
      <c r="F32" s="8">
        <f t="shared" si="2"/>
        <v>2</v>
      </c>
      <c r="G32" s="6" t="s">
        <v>147</v>
      </c>
      <c r="H32" s="6"/>
      <c r="I32" s="17" t="s">
        <v>148</v>
      </c>
      <c r="J32" s="17" t="s">
        <v>149</v>
      </c>
    </row>
    <row r="33">
      <c r="A33" s="4"/>
      <c r="B33" s="4" t="s">
        <v>20</v>
      </c>
      <c r="C33" s="6" t="s">
        <v>150</v>
      </c>
      <c r="D33" s="6" t="s">
        <v>16</v>
      </c>
      <c r="E33" s="17" t="s">
        <v>151</v>
      </c>
      <c r="F33" s="8">
        <f t="shared" si="2"/>
        <v>2</v>
      </c>
      <c r="G33" s="6" t="s">
        <v>152</v>
      </c>
      <c r="H33" s="6"/>
      <c r="I33" s="17" t="s">
        <v>153</v>
      </c>
      <c r="J33" s="17" t="s">
        <v>154</v>
      </c>
    </row>
    <row r="34">
      <c r="A34" s="4"/>
      <c r="B34" s="4" t="s">
        <v>20</v>
      </c>
      <c r="C34" s="6" t="s">
        <v>155</v>
      </c>
      <c r="D34" s="6" t="s">
        <v>156</v>
      </c>
      <c r="E34" s="17" t="s">
        <v>157</v>
      </c>
      <c r="F34" s="8">
        <f t="shared" si="2"/>
        <v>2</v>
      </c>
      <c r="G34" s="6" t="s">
        <v>158</v>
      </c>
      <c r="H34" s="6"/>
      <c r="I34" s="29" t="s">
        <v>159</v>
      </c>
      <c r="J34" s="17" t="s">
        <v>160</v>
      </c>
    </row>
    <row r="35">
      <c r="A35" s="4"/>
      <c r="B35" s="4" t="s">
        <v>20</v>
      </c>
      <c r="C35" s="6" t="s">
        <v>161</v>
      </c>
      <c r="D35" s="6" t="s">
        <v>40</v>
      </c>
      <c r="E35" s="17" t="s">
        <v>162</v>
      </c>
      <c r="F35" s="8">
        <f t="shared" si="2"/>
        <v>1</v>
      </c>
      <c r="G35" s="6" t="s">
        <v>163</v>
      </c>
      <c r="H35" s="6"/>
      <c r="I35" s="20"/>
      <c r="J35" s="17" t="s">
        <v>164</v>
      </c>
    </row>
    <row r="36">
      <c r="A36" s="4"/>
      <c r="B36" s="4" t="s">
        <v>20</v>
      </c>
      <c r="C36" s="6" t="s">
        <v>165</v>
      </c>
      <c r="D36" s="6" t="s">
        <v>166</v>
      </c>
      <c r="E36" s="17" t="s">
        <v>167</v>
      </c>
      <c r="F36" s="8">
        <f t="shared" si="2"/>
        <v>1</v>
      </c>
      <c r="G36" s="6" t="s">
        <v>168</v>
      </c>
      <c r="H36" s="6"/>
      <c r="I36" s="20"/>
      <c r="J36" s="17" t="s">
        <v>169</v>
      </c>
    </row>
    <row r="37">
      <c r="A37" s="30"/>
      <c r="B37" s="4" t="s">
        <v>20</v>
      </c>
      <c r="C37" s="6"/>
      <c r="D37" s="6" t="s">
        <v>40</v>
      </c>
      <c r="E37" s="24" t="s">
        <v>170</v>
      </c>
      <c r="F37" s="8">
        <f t="shared" si="2"/>
        <v>0</v>
      </c>
      <c r="G37" s="6"/>
      <c r="H37" s="6"/>
      <c r="I37" s="31"/>
      <c r="J37" s="17"/>
    </row>
    <row r="38">
      <c r="A38" s="4"/>
      <c r="B38" s="4" t="s">
        <v>20</v>
      </c>
      <c r="C38" s="6" t="s">
        <v>171</v>
      </c>
      <c r="D38" s="6" t="s">
        <v>40</v>
      </c>
      <c r="E38" s="17" t="s">
        <v>172</v>
      </c>
      <c r="F38" s="8">
        <f t="shared" si="2"/>
        <v>2</v>
      </c>
      <c r="G38" s="6" t="s">
        <v>173</v>
      </c>
      <c r="H38" s="6"/>
      <c r="I38" s="32" t="s">
        <v>174</v>
      </c>
      <c r="J38" s="29" t="s">
        <v>175</v>
      </c>
    </row>
    <row r="39">
      <c r="A39" s="4"/>
      <c r="B39" s="4" t="s">
        <v>20</v>
      </c>
      <c r="C39" s="6" t="s">
        <v>176</v>
      </c>
      <c r="D39" s="6" t="s">
        <v>16</v>
      </c>
      <c r="E39" s="17" t="s">
        <v>177</v>
      </c>
      <c r="F39" s="8">
        <f t="shared" si="2"/>
        <v>2</v>
      </c>
      <c r="G39" s="6" t="s">
        <v>178</v>
      </c>
      <c r="H39" s="6"/>
      <c r="I39" s="32" t="s">
        <v>179</v>
      </c>
      <c r="J39" s="29" t="s">
        <v>180</v>
      </c>
    </row>
    <row r="40">
      <c r="A40" s="4"/>
      <c r="B40" s="4" t="s">
        <v>20</v>
      </c>
      <c r="C40" s="25" t="s">
        <v>181</v>
      </c>
      <c r="D40" s="6"/>
      <c r="E40" s="17" t="s">
        <v>182</v>
      </c>
      <c r="F40" s="8">
        <f t="shared" si="2"/>
        <v>0</v>
      </c>
      <c r="G40" s="6" t="s">
        <v>183</v>
      </c>
      <c r="H40" s="25"/>
      <c r="I40" s="17"/>
      <c r="J40" s="17"/>
    </row>
    <row r="41">
      <c r="A41" s="4"/>
      <c r="B41" s="4" t="s">
        <v>20</v>
      </c>
      <c r="C41" s="25" t="s">
        <v>184</v>
      </c>
      <c r="D41" s="6"/>
      <c r="E41" s="17" t="s">
        <v>185</v>
      </c>
      <c r="F41" s="8">
        <f t="shared" si="2"/>
        <v>0</v>
      </c>
      <c r="G41" s="6"/>
      <c r="H41" s="25"/>
      <c r="I41" s="17"/>
      <c r="J41" s="17"/>
    </row>
    <row r="42">
      <c r="A42" s="4"/>
      <c r="B42" s="4" t="s">
        <v>20</v>
      </c>
      <c r="C42" s="25" t="s">
        <v>186</v>
      </c>
      <c r="D42" s="6"/>
      <c r="E42" s="17" t="s">
        <v>187</v>
      </c>
      <c r="F42" s="8">
        <f t="shared" si="2"/>
        <v>0</v>
      </c>
      <c r="G42" s="6" t="s">
        <v>188</v>
      </c>
      <c r="H42" s="25"/>
      <c r="I42" s="17"/>
      <c r="J42" s="17"/>
    </row>
    <row r="43">
      <c r="A43" s="4"/>
      <c r="B43" s="4" t="s">
        <v>20</v>
      </c>
      <c r="C43" s="25" t="s">
        <v>189</v>
      </c>
      <c r="D43" s="6"/>
      <c r="E43" s="17" t="s">
        <v>190</v>
      </c>
      <c r="F43" s="8">
        <f t="shared" si="2"/>
        <v>0</v>
      </c>
      <c r="G43" s="6" t="s">
        <v>191</v>
      </c>
      <c r="H43" s="25"/>
      <c r="I43" s="17"/>
      <c r="J43" s="17"/>
    </row>
    <row r="44">
      <c r="A44" s="4"/>
      <c r="B44" s="4" t="s">
        <v>20</v>
      </c>
      <c r="C44" s="25" t="s">
        <v>192</v>
      </c>
      <c r="D44" s="6"/>
      <c r="E44" s="17" t="s">
        <v>193</v>
      </c>
      <c r="F44" s="8">
        <f t="shared" si="2"/>
        <v>0</v>
      </c>
      <c r="G44" s="6" t="s">
        <v>194</v>
      </c>
      <c r="H44" s="25"/>
      <c r="I44" s="17"/>
      <c r="J44" s="17"/>
    </row>
    <row r="45">
      <c r="A45" s="4"/>
      <c r="B45" s="4" t="s">
        <v>20</v>
      </c>
      <c r="C45" s="25" t="s">
        <v>195</v>
      </c>
      <c r="D45" s="6"/>
      <c r="E45" s="17" t="s">
        <v>196</v>
      </c>
      <c r="F45" s="8">
        <f t="shared" si="2"/>
        <v>0</v>
      </c>
      <c r="G45" s="6" t="s">
        <v>197</v>
      </c>
      <c r="H45" s="25"/>
      <c r="I45" s="17"/>
      <c r="J45" s="17"/>
    </row>
    <row r="46">
      <c r="A46" s="4"/>
      <c r="B46" s="4" t="s">
        <v>20</v>
      </c>
      <c r="C46" s="25" t="s">
        <v>198</v>
      </c>
      <c r="D46" s="6"/>
      <c r="E46" s="17" t="s">
        <v>199</v>
      </c>
      <c r="F46" s="8">
        <f t="shared" si="2"/>
        <v>0</v>
      </c>
      <c r="G46" s="6" t="s">
        <v>200</v>
      </c>
      <c r="H46" s="25"/>
      <c r="I46" s="17"/>
      <c r="J46" s="17"/>
    </row>
    <row r="47">
      <c r="A47" s="4"/>
      <c r="B47" s="4" t="s">
        <v>20</v>
      </c>
      <c r="C47" s="25" t="s">
        <v>201</v>
      </c>
      <c r="D47" s="6"/>
      <c r="E47" s="17" t="s">
        <v>202</v>
      </c>
      <c r="F47" s="8">
        <f t="shared" si="2"/>
        <v>0</v>
      </c>
      <c r="G47" s="6" t="s">
        <v>203</v>
      </c>
      <c r="H47" s="25"/>
      <c r="I47" s="17"/>
      <c r="J47" s="17"/>
    </row>
    <row r="48">
      <c r="A48" s="4"/>
      <c r="B48" s="4" t="s">
        <v>20</v>
      </c>
      <c r="C48" s="25" t="s">
        <v>204</v>
      </c>
      <c r="D48" s="6"/>
      <c r="E48" s="17" t="s">
        <v>205</v>
      </c>
      <c r="F48" s="8">
        <f t="shared" si="2"/>
        <v>0</v>
      </c>
      <c r="G48" s="6" t="s">
        <v>206</v>
      </c>
      <c r="H48" s="25"/>
      <c r="I48" s="17"/>
      <c r="J48" s="17"/>
    </row>
    <row r="49">
      <c r="A49" s="4"/>
      <c r="B49" s="4" t="s">
        <v>20</v>
      </c>
      <c r="C49" s="25" t="s">
        <v>207</v>
      </c>
      <c r="D49" s="6"/>
      <c r="E49" s="17" t="s">
        <v>208</v>
      </c>
      <c r="F49" s="8">
        <f t="shared" si="2"/>
        <v>0</v>
      </c>
      <c r="G49" s="6" t="s">
        <v>209</v>
      </c>
      <c r="H49" s="25"/>
      <c r="I49" s="17"/>
      <c r="J49" s="17"/>
    </row>
    <row r="50">
      <c r="A50" s="4"/>
      <c r="B50" s="4" t="s">
        <v>20</v>
      </c>
      <c r="C50" s="25" t="s">
        <v>210</v>
      </c>
      <c r="D50" s="6"/>
      <c r="E50" s="17" t="s">
        <v>211</v>
      </c>
      <c r="F50" s="8">
        <f t="shared" si="2"/>
        <v>0</v>
      </c>
      <c r="G50" s="6" t="s">
        <v>212</v>
      </c>
      <c r="H50" s="25"/>
      <c r="I50" s="17"/>
      <c r="J50" s="17"/>
    </row>
    <row r="51">
      <c r="A51" s="33"/>
      <c r="B51" s="33"/>
      <c r="C51" s="12"/>
      <c r="D51" s="12"/>
      <c r="E51" s="15"/>
      <c r="F51" s="14"/>
      <c r="G51" s="12"/>
      <c r="H51" s="12"/>
      <c r="I51" s="15"/>
      <c r="J51" s="15"/>
    </row>
    <row r="52">
      <c r="A52" s="4" t="s">
        <v>10</v>
      </c>
      <c r="B52" s="34" t="s">
        <v>213</v>
      </c>
      <c r="C52" s="6" t="s">
        <v>214</v>
      </c>
      <c r="D52" s="6" t="s">
        <v>31</v>
      </c>
      <c r="E52" s="17" t="s">
        <v>215</v>
      </c>
      <c r="F52" s="8">
        <f t="shared" ref="F52:F63" si="3">counta(I52:J52)</f>
        <v>2</v>
      </c>
      <c r="G52" s="6" t="s">
        <v>216</v>
      </c>
      <c r="H52" s="6"/>
      <c r="I52" s="17" t="s">
        <v>217</v>
      </c>
      <c r="J52" s="17" t="s">
        <v>218</v>
      </c>
    </row>
    <row r="53">
      <c r="A53" s="34"/>
      <c r="B53" s="34" t="s">
        <v>213</v>
      </c>
      <c r="C53" s="6" t="s">
        <v>219</v>
      </c>
      <c r="D53" s="6" t="s">
        <v>220</v>
      </c>
      <c r="E53" s="16" t="s">
        <v>221</v>
      </c>
      <c r="F53" s="8">
        <f t="shared" si="3"/>
        <v>2</v>
      </c>
      <c r="G53" s="6" t="s">
        <v>222</v>
      </c>
      <c r="H53" s="6"/>
      <c r="I53" s="29" t="s">
        <v>223</v>
      </c>
      <c r="J53" s="29" t="s">
        <v>224</v>
      </c>
    </row>
    <row r="54">
      <c r="A54" s="34"/>
      <c r="B54" s="34" t="s">
        <v>213</v>
      </c>
      <c r="C54" s="6" t="s">
        <v>225</v>
      </c>
      <c r="D54" s="6" t="s">
        <v>220</v>
      </c>
      <c r="E54" s="16" t="s">
        <v>226</v>
      </c>
      <c r="F54" s="8">
        <f t="shared" si="3"/>
        <v>2</v>
      </c>
      <c r="G54" s="6" t="s">
        <v>227</v>
      </c>
      <c r="H54" s="6"/>
      <c r="I54" s="29" t="s">
        <v>228</v>
      </c>
      <c r="J54" s="29" t="s">
        <v>229</v>
      </c>
    </row>
    <row r="55">
      <c r="A55" s="34"/>
      <c r="B55" s="34" t="s">
        <v>213</v>
      </c>
      <c r="C55" s="6" t="s">
        <v>230</v>
      </c>
      <c r="D55" s="6" t="s">
        <v>220</v>
      </c>
      <c r="E55" s="16" t="s">
        <v>231</v>
      </c>
      <c r="F55" s="8">
        <f t="shared" si="3"/>
        <v>2</v>
      </c>
      <c r="G55" s="6" t="s">
        <v>232</v>
      </c>
      <c r="H55" s="6"/>
      <c r="I55" s="29" t="s">
        <v>233</v>
      </c>
      <c r="J55" s="29" t="s">
        <v>234</v>
      </c>
    </row>
    <row r="56">
      <c r="A56" s="34"/>
      <c r="B56" s="34" t="s">
        <v>213</v>
      </c>
      <c r="C56" s="6" t="s">
        <v>235</v>
      </c>
      <c r="D56" s="6" t="s">
        <v>220</v>
      </c>
      <c r="E56" s="16" t="s">
        <v>236</v>
      </c>
      <c r="F56" s="8">
        <f t="shared" si="3"/>
        <v>2</v>
      </c>
      <c r="G56" s="6" t="s">
        <v>237</v>
      </c>
      <c r="H56" s="6"/>
      <c r="I56" s="29" t="s">
        <v>238</v>
      </c>
      <c r="J56" s="29" t="s">
        <v>239</v>
      </c>
    </row>
    <row r="57">
      <c r="A57" s="34"/>
      <c r="B57" s="34" t="s">
        <v>213</v>
      </c>
      <c r="C57" s="6" t="s">
        <v>240</v>
      </c>
      <c r="D57" s="6" t="s">
        <v>220</v>
      </c>
      <c r="E57" s="16" t="s">
        <v>241</v>
      </c>
      <c r="F57" s="8">
        <f t="shared" si="3"/>
        <v>2</v>
      </c>
      <c r="G57" s="6" t="s">
        <v>242</v>
      </c>
      <c r="H57" s="6"/>
      <c r="I57" s="29" t="s">
        <v>243</v>
      </c>
      <c r="J57" s="29" t="s">
        <v>244</v>
      </c>
    </row>
    <row r="58">
      <c r="A58" s="34"/>
      <c r="B58" s="34" t="s">
        <v>213</v>
      </c>
      <c r="C58" s="6" t="s">
        <v>245</v>
      </c>
      <c r="D58" s="6" t="s">
        <v>220</v>
      </c>
      <c r="E58" s="16" t="s">
        <v>246</v>
      </c>
      <c r="F58" s="8">
        <f t="shared" si="3"/>
        <v>1</v>
      </c>
      <c r="G58" s="6" t="s">
        <v>247</v>
      </c>
      <c r="H58" s="6"/>
      <c r="I58" s="20"/>
      <c r="J58" s="17" t="s">
        <v>248</v>
      </c>
    </row>
    <row r="59">
      <c r="A59" s="34"/>
      <c r="B59" s="34" t="s">
        <v>213</v>
      </c>
      <c r="C59" s="6" t="s">
        <v>249</v>
      </c>
      <c r="D59" s="6" t="s">
        <v>220</v>
      </c>
      <c r="E59" s="16" t="s">
        <v>250</v>
      </c>
      <c r="F59" s="8">
        <f t="shared" si="3"/>
        <v>1</v>
      </c>
      <c r="G59" s="6" t="s">
        <v>251</v>
      </c>
      <c r="H59" s="6"/>
      <c r="I59" s="20"/>
      <c r="J59" s="17" t="s">
        <v>252</v>
      </c>
    </row>
    <row r="60">
      <c r="A60" s="34"/>
      <c r="B60" s="34" t="s">
        <v>213</v>
      </c>
      <c r="C60" s="6" t="s">
        <v>253</v>
      </c>
      <c r="D60" s="6" t="s">
        <v>254</v>
      </c>
      <c r="E60" s="17" t="s">
        <v>255</v>
      </c>
      <c r="F60" s="8">
        <f t="shared" si="3"/>
        <v>2</v>
      </c>
      <c r="G60" s="6" t="s">
        <v>256</v>
      </c>
      <c r="H60" s="6"/>
      <c r="I60" s="29" t="s">
        <v>257</v>
      </c>
      <c r="J60" s="29" t="s">
        <v>258</v>
      </c>
    </row>
    <row r="61">
      <c r="A61" s="34"/>
      <c r="B61" s="34" t="s">
        <v>213</v>
      </c>
      <c r="C61" s="6" t="s">
        <v>259</v>
      </c>
      <c r="D61" s="6" t="s">
        <v>260</v>
      </c>
      <c r="E61" s="17" t="s">
        <v>261</v>
      </c>
      <c r="F61" s="8">
        <f t="shared" si="3"/>
        <v>2</v>
      </c>
      <c r="G61" s="6" t="s">
        <v>262</v>
      </c>
      <c r="H61" s="6"/>
      <c r="I61" s="17" t="s">
        <v>263</v>
      </c>
      <c r="J61" s="17" t="s">
        <v>264</v>
      </c>
    </row>
    <row r="62">
      <c r="A62" s="34"/>
      <c r="B62" s="34" t="s">
        <v>213</v>
      </c>
      <c r="C62" s="6" t="s">
        <v>265</v>
      </c>
      <c r="D62" s="6" t="s">
        <v>266</v>
      </c>
      <c r="E62" s="17" t="s">
        <v>267</v>
      </c>
      <c r="F62" s="8">
        <f t="shared" si="3"/>
        <v>2</v>
      </c>
      <c r="G62" s="6" t="s">
        <v>268</v>
      </c>
      <c r="H62" s="6"/>
      <c r="I62" s="17" t="s">
        <v>269</v>
      </c>
      <c r="J62" s="17" t="s">
        <v>270</v>
      </c>
    </row>
    <row r="63">
      <c r="A63" s="34"/>
      <c r="B63" s="34" t="s">
        <v>213</v>
      </c>
      <c r="C63" s="6" t="s">
        <v>271</v>
      </c>
      <c r="D63" s="6" t="s">
        <v>272</v>
      </c>
      <c r="E63" s="17" t="s">
        <v>273</v>
      </c>
      <c r="F63" s="8">
        <f t="shared" si="3"/>
        <v>1</v>
      </c>
      <c r="G63" s="6" t="s">
        <v>274</v>
      </c>
      <c r="H63" s="6"/>
      <c r="I63" s="20"/>
      <c r="J63" s="17" t="s">
        <v>275</v>
      </c>
    </row>
    <row r="64">
      <c r="A64" s="33"/>
      <c r="B64" s="33"/>
      <c r="C64" s="12"/>
      <c r="D64" s="12"/>
      <c r="E64" s="15"/>
      <c r="F64" s="14"/>
      <c r="G64" s="12"/>
      <c r="H64" s="12"/>
      <c r="I64" s="35"/>
      <c r="J64" s="35"/>
    </row>
    <row r="65">
      <c r="A65" s="4" t="s">
        <v>10</v>
      </c>
      <c r="B65" s="34" t="s">
        <v>276</v>
      </c>
      <c r="C65" s="6" t="s">
        <v>277</v>
      </c>
      <c r="D65" s="6" t="s">
        <v>31</v>
      </c>
      <c r="E65" s="17" t="s">
        <v>278</v>
      </c>
      <c r="F65" s="8">
        <f t="shared" ref="F65:F73" si="4">counta(I65:J65)</f>
        <v>2</v>
      </c>
      <c r="G65" s="6" t="s">
        <v>277</v>
      </c>
      <c r="H65" s="6"/>
      <c r="I65" s="29" t="s">
        <v>279</v>
      </c>
      <c r="J65" s="29" t="s">
        <v>280</v>
      </c>
    </row>
    <row r="66">
      <c r="A66" s="34"/>
      <c r="B66" s="34" t="s">
        <v>276</v>
      </c>
      <c r="C66" s="6" t="s">
        <v>281</v>
      </c>
      <c r="D66" s="6" t="s">
        <v>31</v>
      </c>
      <c r="E66" s="17" t="s">
        <v>282</v>
      </c>
      <c r="F66" s="8">
        <f t="shared" si="4"/>
        <v>2</v>
      </c>
      <c r="G66" s="6" t="s">
        <v>281</v>
      </c>
      <c r="H66" s="6"/>
      <c r="I66" s="17" t="s">
        <v>283</v>
      </c>
      <c r="J66" s="17" t="s">
        <v>284</v>
      </c>
    </row>
    <row r="67">
      <c r="A67" s="34"/>
      <c r="B67" s="34" t="s">
        <v>276</v>
      </c>
      <c r="C67" s="6" t="s">
        <v>285</v>
      </c>
      <c r="D67" s="6" t="s">
        <v>40</v>
      </c>
      <c r="E67" s="17" t="s">
        <v>286</v>
      </c>
      <c r="F67" s="8">
        <f t="shared" si="4"/>
        <v>2</v>
      </c>
      <c r="G67" s="6" t="s">
        <v>287</v>
      </c>
      <c r="H67" s="6"/>
      <c r="I67" s="29" t="s">
        <v>288</v>
      </c>
      <c r="J67" s="29" t="s">
        <v>289</v>
      </c>
    </row>
    <row r="68">
      <c r="A68" s="34"/>
      <c r="B68" s="34" t="s">
        <v>276</v>
      </c>
      <c r="C68" s="6" t="s">
        <v>290</v>
      </c>
      <c r="D68" s="6" t="s">
        <v>31</v>
      </c>
      <c r="E68" s="17" t="s">
        <v>291</v>
      </c>
      <c r="F68" s="8">
        <f t="shared" si="4"/>
        <v>2</v>
      </c>
      <c r="G68" s="6" t="s">
        <v>292</v>
      </c>
      <c r="H68" s="6"/>
      <c r="I68" s="29" t="s">
        <v>293</v>
      </c>
      <c r="J68" s="29" t="s">
        <v>294</v>
      </c>
    </row>
    <row r="69">
      <c r="A69" s="34"/>
      <c r="B69" s="34" t="s">
        <v>276</v>
      </c>
      <c r="C69" s="6" t="s">
        <v>295</v>
      </c>
      <c r="D69" s="6" t="s">
        <v>40</v>
      </c>
      <c r="E69" s="17" t="s">
        <v>296</v>
      </c>
      <c r="F69" s="8">
        <f t="shared" si="4"/>
        <v>2</v>
      </c>
      <c r="G69" s="6" t="s">
        <v>297</v>
      </c>
      <c r="H69" s="6"/>
      <c r="I69" s="29" t="s">
        <v>298</v>
      </c>
      <c r="J69" s="29" t="s">
        <v>299</v>
      </c>
    </row>
    <row r="70">
      <c r="A70" s="34"/>
      <c r="B70" s="34" t="s">
        <v>276</v>
      </c>
      <c r="C70" s="9" t="s">
        <v>300</v>
      </c>
      <c r="D70" s="9" t="s">
        <v>40</v>
      </c>
      <c r="E70" s="17" t="s">
        <v>301</v>
      </c>
      <c r="F70" s="8">
        <f t="shared" si="4"/>
        <v>2</v>
      </c>
      <c r="G70" s="6" t="s">
        <v>302</v>
      </c>
      <c r="H70" s="9"/>
      <c r="I70" s="29" t="s">
        <v>303</v>
      </c>
      <c r="J70" s="29" t="s">
        <v>304</v>
      </c>
    </row>
    <row r="71">
      <c r="A71" s="34"/>
      <c r="B71" s="34" t="s">
        <v>276</v>
      </c>
      <c r="C71" s="6" t="s">
        <v>305</v>
      </c>
      <c r="D71" s="6" t="s">
        <v>40</v>
      </c>
      <c r="E71" s="17" t="s">
        <v>306</v>
      </c>
      <c r="F71" s="8">
        <f t="shared" si="4"/>
        <v>2</v>
      </c>
      <c r="G71" s="6" t="s">
        <v>307</v>
      </c>
      <c r="H71" s="6"/>
      <c r="I71" s="29" t="s">
        <v>308</v>
      </c>
      <c r="J71" s="29" t="s">
        <v>309</v>
      </c>
    </row>
    <row r="72">
      <c r="A72" s="34"/>
      <c r="B72" s="34" t="s">
        <v>276</v>
      </c>
      <c r="C72" s="6" t="s">
        <v>310</v>
      </c>
      <c r="D72" s="6" t="s">
        <v>40</v>
      </c>
      <c r="E72" s="17" t="s">
        <v>311</v>
      </c>
      <c r="F72" s="8">
        <f t="shared" si="4"/>
        <v>2</v>
      </c>
      <c r="G72" s="6" t="s">
        <v>312</v>
      </c>
      <c r="H72" s="6"/>
      <c r="I72" s="17" t="s">
        <v>313</v>
      </c>
      <c r="J72" s="17" t="s">
        <v>314</v>
      </c>
    </row>
    <row r="73">
      <c r="A73" s="34"/>
      <c r="B73" s="34" t="s">
        <v>276</v>
      </c>
      <c r="C73" s="6" t="s">
        <v>315</v>
      </c>
      <c r="D73" s="6" t="s">
        <v>40</v>
      </c>
      <c r="E73" s="17" t="s">
        <v>316</v>
      </c>
      <c r="F73" s="8">
        <f t="shared" si="4"/>
        <v>2</v>
      </c>
      <c r="G73" s="6" t="s">
        <v>315</v>
      </c>
      <c r="H73" s="6"/>
      <c r="I73" s="17" t="s">
        <v>317</v>
      </c>
      <c r="J73" s="17" t="s">
        <v>318</v>
      </c>
    </row>
    <row r="74">
      <c r="A74" s="33"/>
      <c r="B74" s="33"/>
      <c r="C74" s="12"/>
      <c r="D74" s="12"/>
      <c r="E74" s="13"/>
      <c r="F74" s="14"/>
      <c r="G74" s="12"/>
      <c r="H74" s="12"/>
      <c r="I74" s="35"/>
      <c r="J74" s="35"/>
    </row>
    <row r="75">
      <c r="A75" s="4" t="s">
        <v>10</v>
      </c>
      <c r="B75" s="34" t="s">
        <v>319</v>
      </c>
      <c r="C75" s="6" t="s">
        <v>320</v>
      </c>
      <c r="D75" s="6" t="s">
        <v>26</v>
      </c>
      <c r="E75" s="16" t="s">
        <v>321</v>
      </c>
      <c r="F75" s="8">
        <f t="shared" ref="F75:F104" si="5">counta(I75:J75)</f>
        <v>2</v>
      </c>
      <c r="G75" s="6" t="s">
        <v>322</v>
      </c>
      <c r="H75" s="6"/>
      <c r="I75" s="29" t="s">
        <v>323</v>
      </c>
      <c r="J75" s="29" t="s">
        <v>324</v>
      </c>
    </row>
    <row r="76">
      <c r="A76" s="34"/>
      <c r="B76" s="34" t="s">
        <v>319</v>
      </c>
      <c r="C76" s="6" t="s">
        <v>325</v>
      </c>
      <c r="D76" s="6" t="s">
        <v>145</v>
      </c>
      <c r="E76" s="16" t="s">
        <v>326</v>
      </c>
      <c r="F76" s="8">
        <f t="shared" si="5"/>
        <v>2</v>
      </c>
      <c r="G76" s="6" t="s">
        <v>327</v>
      </c>
      <c r="H76" s="6"/>
      <c r="I76" s="29" t="s">
        <v>328</v>
      </c>
      <c r="J76" s="29" t="s">
        <v>329</v>
      </c>
    </row>
    <row r="77">
      <c r="A77" s="34"/>
      <c r="B77" s="34" t="s">
        <v>319</v>
      </c>
      <c r="C77" s="6" t="s">
        <v>330</v>
      </c>
      <c r="D77" s="6" t="s">
        <v>26</v>
      </c>
      <c r="E77" s="16" t="s">
        <v>331</v>
      </c>
      <c r="F77" s="8">
        <f t="shared" si="5"/>
        <v>2</v>
      </c>
      <c r="G77" s="6" t="s">
        <v>332</v>
      </c>
      <c r="H77" s="6"/>
      <c r="I77" s="29" t="s">
        <v>333</v>
      </c>
      <c r="J77" s="29" t="s">
        <v>334</v>
      </c>
    </row>
    <row r="78">
      <c r="A78" s="34"/>
      <c r="B78" s="34" t="s">
        <v>319</v>
      </c>
      <c r="C78" s="6" t="s">
        <v>335</v>
      </c>
      <c r="D78" s="6" t="s">
        <v>145</v>
      </c>
      <c r="E78" s="16" t="s">
        <v>336</v>
      </c>
      <c r="F78" s="8">
        <f t="shared" si="5"/>
        <v>2</v>
      </c>
      <c r="G78" s="6" t="s">
        <v>337</v>
      </c>
      <c r="H78" s="6"/>
      <c r="I78" s="29" t="s">
        <v>338</v>
      </c>
      <c r="J78" s="29" t="s">
        <v>339</v>
      </c>
    </row>
    <row r="79">
      <c r="A79" s="34"/>
      <c r="B79" s="34" t="s">
        <v>319</v>
      </c>
      <c r="C79" s="25" t="s">
        <v>340</v>
      </c>
      <c r="D79" s="25" t="s">
        <v>40</v>
      </c>
      <c r="E79" s="16" t="s">
        <v>341</v>
      </c>
      <c r="F79" s="8">
        <f t="shared" si="5"/>
        <v>2</v>
      </c>
      <c r="G79" s="6" t="s">
        <v>342</v>
      </c>
      <c r="H79" s="25"/>
      <c r="I79" s="29" t="s">
        <v>343</v>
      </c>
      <c r="J79" s="29" t="s">
        <v>344</v>
      </c>
    </row>
    <row r="80">
      <c r="A80" s="34"/>
      <c r="B80" s="34" t="s">
        <v>319</v>
      </c>
      <c r="C80" s="6" t="s">
        <v>345</v>
      </c>
      <c r="D80" s="6" t="s">
        <v>40</v>
      </c>
      <c r="E80" s="17" t="s">
        <v>346</v>
      </c>
      <c r="F80" s="8">
        <f t="shared" si="5"/>
        <v>1</v>
      </c>
      <c r="G80" s="6" t="s">
        <v>347</v>
      </c>
      <c r="H80" s="6"/>
      <c r="I80" s="20"/>
      <c r="J80" s="17" t="s">
        <v>348</v>
      </c>
    </row>
    <row r="81">
      <c r="A81" s="34"/>
      <c r="B81" s="34" t="s">
        <v>319</v>
      </c>
      <c r="C81" s="25" t="s">
        <v>349</v>
      </c>
      <c r="D81" s="25" t="s">
        <v>40</v>
      </c>
      <c r="E81" s="36" t="s">
        <v>350</v>
      </c>
      <c r="F81" s="8">
        <f t="shared" si="5"/>
        <v>1</v>
      </c>
      <c r="G81" s="6" t="s">
        <v>349</v>
      </c>
      <c r="H81" s="25"/>
      <c r="I81" s="23" t="s">
        <v>351</v>
      </c>
      <c r="J81" s="37"/>
    </row>
    <row r="82">
      <c r="A82" s="34"/>
      <c r="B82" s="34" t="s">
        <v>319</v>
      </c>
      <c r="C82" s="25" t="s">
        <v>352</v>
      </c>
      <c r="D82" s="25" t="s">
        <v>26</v>
      </c>
      <c r="E82" s="36" t="s">
        <v>353</v>
      </c>
      <c r="F82" s="8">
        <f t="shared" si="5"/>
        <v>1</v>
      </c>
      <c r="G82" s="6" t="s">
        <v>354</v>
      </c>
      <c r="H82" s="25"/>
      <c r="I82" s="23" t="s">
        <v>355</v>
      </c>
      <c r="J82" s="37"/>
    </row>
    <row r="83">
      <c r="A83" s="34"/>
      <c r="B83" s="34" t="s">
        <v>319</v>
      </c>
      <c r="C83" s="25" t="s">
        <v>356</v>
      </c>
      <c r="D83" s="25" t="s">
        <v>145</v>
      </c>
      <c r="E83" s="36" t="s">
        <v>357</v>
      </c>
      <c r="F83" s="8">
        <f t="shared" si="5"/>
        <v>1</v>
      </c>
      <c r="G83" s="6" t="s">
        <v>358</v>
      </c>
      <c r="H83" s="25"/>
      <c r="I83" s="23" t="s">
        <v>359</v>
      </c>
      <c r="J83" s="37"/>
    </row>
    <row r="84">
      <c r="A84" s="34"/>
      <c r="B84" s="34" t="s">
        <v>319</v>
      </c>
      <c r="C84" s="6" t="s">
        <v>360</v>
      </c>
      <c r="D84" s="25" t="s">
        <v>360</v>
      </c>
      <c r="E84" s="17" t="s">
        <v>361</v>
      </c>
      <c r="F84" s="8">
        <f t="shared" si="5"/>
        <v>2</v>
      </c>
      <c r="G84" s="6" t="s">
        <v>362</v>
      </c>
      <c r="H84" s="6"/>
      <c r="I84" s="17" t="s">
        <v>363</v>
      </c>
      <c r="J84" s="17" t="s">
        <v>364</v>
      </c>
    </row>
    <row r="85">
      <c r="A85" s="34"/>
      <c r="B85" s="34" t="s">
        <v>319</v>
      </c>
      <c r="C85" s="9" t="s">
        <v>365</v>
      </c>
      <c r="D85" s="9" t="s">
        <v>40</v>
      </c>
      <c r="E85" s="17" t="s">
        <v>366</v>
      </c>
      <c r="F85" s="8">
        <f t="shared" si="5"/>
        <v>2</v>
      </c>
      <c r="G85" s="6" t="s">
        <v>367</v>
      </c>
      <c r="H85" s="9"/>
      <c r="I85" s="29" t="s">
        <v>368</v>
      </c>
      <c r="J85" s="29" t="s">
        <v>369</v>
      </c>
    </row>
    <row r="86">
      <c r="A86" s="34"/>
      <c r="B86" s="34" t="s">
        <v>319</v>
      </c>
      <c r="C86" s="6" t="s">
        <v>370</v>
      </c>
      <c r="D86" s="6" t="s">
        <v>40</v>
      </c>
      <c r="E86" s="17" t="s">
        <v>371</v>
      </c>
      <c r="F86" s="8">
        <f t="shared" si="5"/>
        <v>2</v>
      </c>
      <c r="G86" s="6" t="s">
        <v>372</v>
      </c>
      <c r="H86" s="6" t="s">
        <v>373</v>
      </c>
      <c r="I86" s="17" t="s">
        <v>374</v>
      </c>
      <c r="J86" s="17" t="s">
        <v>375</v>
      </c>
    </row>
    <row r="87">
      <c r="A87" s="34"/>
      <c r="B87" s="34" t="s">
        <v>319</v>
      </c>
      <c r="C87" s="6" t="s">
        <v>376</v>
      </c>
      <c r="D87" s="6" t="s">
        <v>40</v>
      </c>
      <c r="E87" s="17" t="s">
        <v>377</v>
      </c>
      <c r="F87" s="8">
        <f t="shared" si="5"/>
        <v>2</v>
      </c>
      <c r="G87" s="6" t="s">
        <v>378</v>
      </c>
      <c r="H87" s="6"/>
      <c r="I87" s="17" t="s">
        <v>379</v>
      </c>
      <c r="J87" s="17" t="s">
        <v>380</v>
      </c>
    </row>
    <row r="88">
      <c r="A88" s="34"/>
      <c r="B88" s="34" t="s">
        <v>319</v>
      </c>
      <c r="C88" s="6" t="s">
        <v>381</v>
      </c>
      <c r="D88" s="6" t="s">
        <v>40</v>
      </c>
      <c r="E88" s="17" t="s">
        <v>382</v>
      </c>
      <c r="F88" s="8">
        <f t="shared" si="5"/>
        <v>2</v>
      </c>
      <c r="G88" s="6" t="s">
        <v>383</v>
      </c>
      <c r="H88" s="6"/>
      <c r="I88" s="29" t="s">
        <v>384</v>
      </c>
      <c r="J88" s="29" t="s">
        <v>385</v>
      </c>
    </row>
    <row r="89">
      <c r="A89" s="34"/>
      <c r="B89" s="34" t="s">
        <v>319</v>
      </c>
      <c r="C89" s="6" t="s">
        <v>386</v>
      </c>
      <c r="D89" s="6" t="s">
        <v>40</v>
      </c>
      <c r="E89" s="17" t="s">
        <v>387</v>
      </c>
      <c r="F89" s="8">
        <f t="shared" si="5"/>
        <v>2</v>
      </c>
      <c r="G89" s="6" t="s">
        <v>388</v>
      </c>
      <c r="H89" s="6"/>
      <c r="I89" s="29" t="s">
        <v>389</v>
      </c>
      <c r="J89" s="29" t="s">
        <v>390</v>
      </c>
    </row>
    <row r="90">
      <c r="A90" s="34"/>
      <c r="B90" s="34" t="s">
        <v>319</v>
      </c>
      <c r="C90" s="6" t="s">
        <v>391</v>
      </c>
      <c r="D90" s="6" t="s">
        <v>40</v>
      </c>
      <c r="E90" s="17" t="s">
        <v>392</v>
      </c>
      <c r="F90" s="8">
        <f t="shared" si="5"/>
        <v>2</v>
      </c>
      <c r="G90" s="6" t="s">
        <v>393</v>
      </c>
      <c r="H90" s="6"/>
      <c r="I90" s="29" t="s">
        <v>394</v>
      </c>
      <c r="J90" s="29" t="s">
        <v>395</v>
      </c>
    </row>
    <row r="91">
      <c r="A91" s="34"/>
      <c r="B91" s="34" t="s">
        <v>319</v>
      </c>
      <c r="C91" s="6" t="s">
        <v>396</v>
      </c>
      <c r="D91" s="6" t="s">
        <v>40</v>
      </c>
      <c r="E91" s="17" t="s">
        <v>397</v>
      </c>
      <c r="F91" s="8">
        <f t="shared" si="5"/>
        <v>2</v>
      </c>
      <c r="G91" s="6" t="s">
        <v>398</v>
      </c>
      <c r="H91" s="6"/>
      <c r="I91" s="29" t="s">
        <v>399</v>
      </c>
      <c r="J91" s="29" t="s">
        <v>400</v>
      </c>
    </row>
    <row r="92">
      <c r="A92" s="34"/>
      <c r="B92" s="34" t="s">
        <v>319</v>
      </c>
      <c r="C92" s="6" t="s">
        <v>401</v>
      </c>
      <c r="D92" s="6" t="s">
        <v>40</v>
      </c>
      <c r="E92" s="17" t="s">
        <v>402</v>
      </c>
      <c r="F92" s="8">
        <f t="shared" si="5"/>
        <v>2</v>
      </c>
      <c r="G92" s="6" t="s">
        <v>403</v>
      </c>
      <c r="H92" s="6"/>
      <c r="I92" s="29" t="s">
        <v>404</v>
      </c>
      <c r="J92" s="29" t="s">
        <v>405</v>
      </c>
    </row>
    <row r="93">
      <c r="A93" s="34"/>
      <c r="B93" s="34" t="s">
        <v>319</v>
      </c>
      <c r="C93" s="6" t="s">
        <v>406</v>
      </c>
      <c r="D93" s="6" t="s">
        <v>40</v>
      </c>
      <c r="E93" s="17" t="s">
        <v>407</v>
      </c>
      <c r="F93" s="8">
        <f t="shared" si="5"/>
        <v>2</v>
      </c>
      <c r="G93" s="6" t="s">
        <v>408</v>
      </c>
      <c r="H93" s="6"/>
      <c r="I93" s="29" t="s">
        <v>409</v>
      </c>
      <c r="J93" s="29" t="s">
        <v>410</v>
      </c>
    </row>
    <row r="94">
      <c r="A94" s="34"/>
      <c r="B94" s="34" t="s">
        <v>319</v>
      </c>
      <c r="C94" s="6" t="s">
        <v>411</v>
      </c>
      <c r="D94" s="6" t="s">
        <v>40</v>
      </c>
      <c r="E94" s="17" t="s">
        <v>412</v>
      </c>
      <c r="F94" s="8">
        <f t="shared" si="5"/>
        <v>2</v>
      </c>
      <c r="G94" s="6" t="s">
        <v>413</v>
      </c>
      <c r="H94" s="6"/>
      <c r="I94" s="29" t="s">
        <v>414</v>
      </c>
      <c r="J94" s="29" t="s">
        <v>415</v>
      </c>
    </row>
    <row r="95">
      <c r="A95" s="34"/>
      <c r="B95" s="34" t="s">
        <v>319</v>
      </c>
      <c r="C95" s="6" t="s">
        <v>416</v>
      </c>
      <c r="D95" s="6" t="s">
        <v>40</v>
      </c>
      <c r="E95" s="17" t="s">
        <v>417</v>
      </c>
      <c r="F95" s="8">
        <f t="shared" si="5"/>
        <v>2</v>
      </c>
      <c r="G95" s="6" t="s">
        <v>416</v>
      </c>
      <c r="H95" s="6"/>
      <c r="I95" s="29" t="s">
        <v>418</v>
      </c>
      <c r="J95" s="29" t="s">
        <v>419</v>
      </c>
    </row>
    <row r="96">
      <c r="A96" s="34"/>
      <c r="B96" s="34" t="s">
        <v>319</v>
      </c>
      <c r="C96" s="6" t="s">
        <v>420</v>
      </c>
      <c r="D96" s="6" t="s">
        <v>40</v>
      </c>
      <c r="E96" s="17" t="s">
        <v>421</v>
      </c>
      <c r="F96" s="8">
        <f t="shared" si="5"/>
        <v>2</v>
      </c>
      <c r="G96" s="6" t="s">
        <v>422</v>
      </c>
      <c r="H96" s="6"/>
      <c r="I96" s="29" t="s">
        <v>423</v>
      </c>
      <c r="J96" s="29" t="s">
        <v>424</v>
      </c>
    </row>
    <row r="97">
      <c r="A97" s="34"/>
      <c r="B97" s="34" t="s">
        <v>319</v>
      </c>
      <c r="C97" s="6" t="s">
        <v>425</v>
      </c>
      <c r="D97" s="6" t="s">
        <v>40</v>
      </c>
      <c r="E97" s="17" t="s">
        <v>426</v>
      </c>
      <c r="F97" s="8">
        <f t="shared" si="5"/>
        <v>2</v>
      </c>
      <c r="G97" s="6" t="s">
        <v>427</v>
      </c>
      <c r="H97" s="6"/>
      <c r="I97" s="29" t="s">
        <v>428</v>
      </c>
      <c r="J97" s="29" t="s">
        <v>429</v>
      </c>
    </row>
    <row r="98">
      <c r="A98" s="34"/>
      <c r="B98" s="34" t="s">
        <v>319</v>
      </c>
      <c r="C98" s="6" t="s">
        <v>430</v>
      </c>
      <c r="D98" s="6" t="s">
        <v>40</v>
      </c>
      <c r="E98" s="17" t="s">
        <v>431</v>
      </c>
      <c r="F98" s="8">
        <f t="shared" si="5"/>
        <v>2</v>
      </c>
      <c r="G98" s="6" t="s">
        <v>432</v>
      </c>
      <c r="H98" s="6"/>
      <c r="I98" s="17" t="s">
        <v>433</v>
      </c>
      <c r="J98" s="17" t="s">
        <v>434</v>
      </c>
    </row>
    <row r="99">
      <c r="A99" s="34"/>
      <c r="B99" s="34" t="s">
        <v>319</v>
      </c>
      <c r="C99" s="6" t="s">
        <v>435</v>
      </c>
      <c r="D99" s="6" t="s">
        <v>436</v>
      </c>
      <c r="E99" s="16" t="s">
        <v>437</v>
      </c>
      <c r="F99" s="8">
        <f t="shared" si="5"/>
        <v>2</v>
      </c>
      <c r="G99" s="6" t="s">
        <v>438</v>
      </c>
      <c r="H99" s="6"/>
      <c r="I99" s="29" t="s">
        <v>439</v>
      </c>
      <c r="J99" s="29" t="s">
        <v>440</v>
      </c>
    </row>
    <row r="100">
      <c r="A100" s="34"/>
      <c r="B100" s="34" t="s">
        <v>319</v>
      </c>
      <c r="C100" s="6" t="s">
        <v>441</v>
      </c>
      <c r="D100" s="6" t="s">
        <v>436</v>
      </c>
      <c r="E100" s="16" t="s">
        <v>442</v>
      </c>
      <c r="F100" s="8">
        <f t="shared" si="5"/>
        <v>2</v>
      </c>
      <c r="G100" s="6" t="s">
        <v>443</v>
      </c>
      <c r="H100" s="6"/>
      <c r="I100" s="29" t="s">
        <v>444</v>
      </c>
      <c r="J100" s="29" t="s">
        <v>445</v>
      </c>
    </row>
    <row r="101">
      <c r="A101" s="34"/>
      <c r="B101" s="34" t="s">
        <v>319</v>
      </c>
      <c r="C101" s="6" t="s">
        <v>446</v>
      </c>
      <c r="D101" s="6" t="s">
        <v>436</v>
      </c>
      <c r="E101" s="16" t="s">
        <v>447</v>
      </c>
      <c r="F101" s="8">
        <f t="shared" si="5"/>
        <v>2</v>
      </c>
      <c r="G101" s="6" t="s">
        <v>448</v>
      </c>
      <c r="H101" s="6"/>
      <c r="I101" s="29" t="s">
        <v>449</v>
      </c>
      <c r="J101" s="29" t="s">
        <v>450</v>
      </c>
    </row>
    <row r="102">
      <c r="A102" s="34"/>
      <c r="B102" s="34" t="s">
        <v>319</v>
      </c>
      <c r="C102" s="6" t="s">
        <v>451</v>
      </c>
      <c r="D102" s="6" t="s">
        <v>436</v>
      </c>
      <c r="E102" s="16" t="s">
        <v>452</v>
      </c>
      <c r="F102" s="8">
        <f t="shared" si="5"/>
        <v>1</v>
      </c>
      <c r="G102" s="6" t="s">
        <v>453</v>
      </c>
      <c r="H102" s="6"/>
      <c r="I102" s="20"/>
      <c r="J102" s="17" t="s">
        <v>454</v>
      </c>
    </row>
    <row r="103">
      <c r="A103" s="34"/>
      <c r="B103" s="34" t="s">
        <v>319</v>
      </c>
      <c r="C103" s="6" t="s">
        <v>455</v>
      </c>
      <c r="D103" s="6" t="s">
        <v>436</v>
      </c>
      <c r="E103" s="16" t="s">
        <v>456</v>
      </c>
      <c r="F103" s="8">
        <f t="shared" si="5"/>
        <v>1</v>
      </c>
      <c r="G103" s="6" t="s">
        <v>457</v>
      </c>
      <c r="H103" s="6"/>
      <c r="I103" s="20"/>
      <c r="J103" s="17" t="s">
        <v>458</v>
      </c>
    </row>
    <row r="104">
      <c r="A104" s="34"/>
      <c r="B104" s="34" t="s">
        <v>319</v>
      </c>
      <c r="C104" s="6" t="s">
        <v>459</v>
      </c>
      <c r="D104" s="6" t="s">
        <v>436</v>
      </c>
      <c r="E104" s="16" t="s">
        <v>460</v>
      </c>
      <c r="F104" s="8">
        <f t="shared" si="5"/>
        <v>1</v>
      </c>
      <c r="G104" s="6" t="s">
        <v>461</v>
      </c>
      <c r="H104" s="6"/>
      <c r="I104" s="20"/>
      <c r="J104" s="17" t="s">
        <v>462</v>
      </c>
    </row>
    <row r="105">
      <c r="A105" s="33"/>
      <c r="B105" s="33"/>
      <c r="C105" s="12"/>
      <c r="D105" s="12"/>
      <c r="E105" s="15"/>
      <c r="F105" s="14"/>
      <c r="G105" s="12"/>
      <c r="H105" s="12"/>
      <c r="I105" s="15"/>
      <c r="J105" s="15"/>
    </row>
    <row r="106">
      <c r="A106" s="4" t="s">
        <v>10</v>
      </c>
      <c r="B106" s="34" t="s">
        <v>463</v>
      </c>
      <c r="C106" s="6" t="s">
        <v>464</v>
      </c>
      <c r="D106" s="6" t="s">
        <v>464</v>
      </c>
      <c r="E106" s="17" t="s">
        <v>465</v>
      </c>
      <c r="F106" s="8">
        <f t="shared" ref="F106:F153" si="6">counta(I106:J106)</f>
        <v>2</v>
      </c>
      <c r="G106" s="6" t="s">
        <v>466</v>
      </c>
      <c r="H106" s="6"/>
      <c r="I106" s="17" t="s">
        <v>467</v>
      </c>
      <c r="J106" s="17" t="s">
        <v>468</v>
      </c>
    </row>
    <row r="107">
      <c r="A107" s="34"/>
      <c r="B107" s="34" t="s">
        <v>463</v>
      </c>
      <c r="C107" s="6" t="s">
        <v>469</v>
      </c>
      <c r="D107" s="6" t="s">
        <v>470</v>
      </c>
      <c r="E107" s="23" t="s">
        <v>471</v>
      </c>
      <c r="F107" s="8">
        <f t="shared" si="6"/>
        <v>1</v>
      </c>
      <c r="G107" s="6" t="s">
        <v>472</v>
      </c>
      <c r="H107" s="6"/>
      <c r="I107" s="23" t="s">
        <v>473</v>
      </c>
      <c r="J107" s="38"/>
    </row>
    <row r="108">
      <c r="A108" s="34"/>
      <c r="B108" s="34" t="s">
        <v>463</v>
      </c>
      <c r="C108" s="6" t="s">
        <v>25</v>
      </c>
      <c r="D108" s="6" t="s">
        <v>26</v>
      </c>
      <c r="E108" s="17" t="s">
        <v>474</v>
      </c>
      <c r="F108" s="8">
        <f t="shared" si="6"/>
        <v>2</v>
      </c>
      <c r="G108" s="6" t="s">
        <v>28</v>
      </c>
      <c r="H108" s="6"/>
      <c r="I108" s="29" t="s">
        <v>475</v>
      </c>
      <c r="J108" s="29" t="s">
        <v>476</v>
      </c>
    </row>
    <row r="109">
      <c r="A109" s="34"/>
      <c r="B109" s="34" t="s">
        <v>463</v>
      </c>
      <c r="C109" s="6" t="s">
        <v>477</v>
      </c>
      <c r="D109" s="6" t="s">
        <v>145</v>
      </c>
      <c r="E109" s="17" t="s">
        <v>478</v>
      </c>
      <c r="F109" s="8">
        <f t="shared" si="6"/>
        <v>2</v>
      </c>
      <c r="G109" s="6" t="s">
        <v>479</v>
      </c>
      <c r="H109" s="6"/>
      <c r="I109" s="29" t="s">
        <v>480</v>
      </c>
      <c r="J109" s="29" t="s">
        <v>481</v>
      </c>
    </row>
    <row r="110">
      <c r="A110" s="34"/>
      <c r="B110" s="34" t="s">
        <v>463</v>
      </c>
      <c r="C110" s="6" t="s">
        <v>482</v>
      </c>
      <c r="D110" s="6" t="s">
        <v>483</v>
      </c>
      <c r="E110" s="17" t="s">
        <v>484</v>
      </c>
      <c r="F110" s="8">
        <f t="shared" si="6"/>
        <v>2</v>
      </c>
      <c r="G110" s="6" t="s">
        <v>485</v>
      </c>
      <c r="H110" s="6"/>
      <c r="I110" s="29" t="s">
        <v>486</v>
      </c>
      <c r="J110" s="29" t="s">
        <v>487</v>
      </c>
    </row>
    <row r="111">
      <c r="A111" s="34"/>
      <c r="B111" s="34" t="s">
        <v>463</v>
      </c>
      <c r="C111" s="6" t="s">
        <v>488</v>
      </c>
      <c r="D111" s="6" t="s">
        <v>483</v>
      </c>
      <c r="E111" s="17" t="s">
        <v>489</v>
      </c>
      <c r="F111" s="8">
        <f t="shared" si="6"/>
        <v>2</v>
      </c>
      <c r="G111" s="6" t="s">
        <v>490</v>
      </c>
      <c r="H111" s="6"/>
      <c r="I111" s="29" t="s">
        <v>491</v>
      </c>
      <c r="J111" s="29" t="s">
        <v>492</v>
      </c>
    </row>
    <row r="112">
      <c r="A112" s="34"/>
      <c r="B112" s="34" t="s">
        <v>463</v>
      </c>
      <c r="C112" s="6" t="s">
        <v>493</v>
      </c>
      <c r="D112" s="6" t="s">
        <v>483</v>
      </c>
      <c r="E112" s="17" t="s">
        <v>494</v>
      </c>
      <c r="F112" s="8">
        <f t="shared" si="6"/>
        <v>2</v>
      </c>
      <c r="G112" s="6" t="s">
        <v>495</v>
      </c>
      <c r="H112" s="6"/>
      <c r="I112" s="29" t="s">
        <v>496</v>
      </c>
      <c r="J112" s="29" t="s">
        <v>497</v>
      </c>
    </row>
    <row r="113">
      <c r="A113" s="34"/>
      <c r="B113" s="34" t="s">
        <v>463</v>
      </c>
      <c r="C113" s="6" t="s">
        <v>498</v>
      </c>
      <c r="D113" s="6" t="s">
        <v>31</v>
      </c>
      <c r="E113" s="17" t="s">
        <v>499</v>
      </c>
      <c r="F113" s="8">
        <f t="shared" si="6"/>
        <v>2</v>
      </c>
      <c r="G113" s="6" t="s">
        <v>500</v>
      </c>
      <c r="H113" s="6"/>
      <c r="I113" s="17" t="s">
        <v>501</v>
      </c>
      <c r="J113" s="17" t="s">
        <v>502</v>
      </c>
    </row>
    <row r="114">
      <c r="A114" s="34"/>
      <c r="B114" s="34" t="s">
        <v>463</v>
      </c>
      <c r="C114" s="6" t="s">
        <v>503</v>
      </c>
      <c r="D114" s="6" t="s">
        <v>503</v>
      </c>
      <c r="E114" s="17" t="s">
        <v>504</v>
      </c>
      <c r="F114" s="8">
        <f t="shared" si="6"/>
        <v>2</v>
      </c>
      <c r="G114" s="6" t="s">
        <v>505</v>
      </c>
      <c r="H114" s="6"/>
      <c r="I114" s="17" t="s">
        <v>506</v>
      </c>
      <c r="J114" s="17" t="s">
        <v>507</v>
      </c>
    </row>
    <row r="115">
      <c r="A115" s="34"/>
      <c r="B115" s="34" t="s">
        <v>463</v>
      </c>
      <c r="C115" s="6" t="s">
        <v>508</v>
      </c>
      <c r="D115" s="6" t="s">
        <v>40</v>
      </c>
      <c r="E115" s="17" t="s">
        <v>509</v>
      </c>
      <c r="F115" s="8">
        <f t="shared" si="6"/>
        <v>2</v>
      </c>
      <c r="G115" s="6" t="s">
        <v>510</v>
      </c>
      <c r="H115" s="6" t="s">
        <v>511</v>
      </c>
      <c r="I115" s="17" t="s">
        <v>512</v>
      </c>
      <c r="J115" s="17" t="s">
        <v>513</v>
      </c>
    </row>
    <row r="116">
      <c r="A116" s="34"/>
      <c r="B116" s="34" t="s">
        <v>463</v>
      </c>
      <c r="C116" s="6" t="s">
        <v>514</v>
      </c>
      <c r="D116" s="6" t="s">
        <v>40</v>
      </c>
      <c r="E116" s="17" t="s">
        <v>515</v>
      </c>
      <c r="F116" s="8">
        <f t="shared" si="6"/>
        <v>2</v>
      </c>
      <c r="G116" s="6" t="s">
        <v>516</v>
      </c>
      <c r="H116" s="6" t="s">
        <v>511</v>
      </c>
      <c r="I116" s="17" t="s">
        <v>517</v>
      </c>
      <c r="J116" s="17" t="s">
        <v>518</v>
      </c>
    </row>
    <row r="117">
      <c r="A117" s="34"/>
      <c r="B117" s="34" t="s">
        <v>463</v>
      </c>
      <c r="C117" s="6" t="s">
        <v>519</v>
      </c>
      <c r="D117" s="6" t="s">
        <v>40</v>
      </c>
      <c r="E117" s="17" t="s">
        <v>520</v>
      </c>
      <c r="F117" s="8">
        <f t="shared" si="6"/>
        <v>2</v>
      </c>
      <c r="G117" s="6" t="s">
        <v>521</v>
      </c>
      <c r="H117" s="6" t="s">
        <v>511</v>
      </c>
      <c r="I117" s="17" t="s">
        <v>522</v>
      </c>
      <c r="J117" s="17" t="s">
        <v>523</v>
      </c>
    </row>
    <row r="118">
      <c r="A118" s="34"/>
      <c r="B118" s="34" t="s">
        <v>463</v>
      </c>
      <c r="C118" s="6" t="s">
        <v>524</v>
      </c>
      <c r="D118" s="6" t="s">
        <v>26</v>
      </c>
      <c r="E118" s="16" t="s">
        <v>525</v>
      </c>
      <c r="F118" s="8">
        <f t="shared" si="6"/>
        <v>2</v>
      </c>
      <c r="G118" s="6" t="s">
        <v>526</v>
      </c>
      <c r="H118" s="6"/>
      <c r="I118" s="17" t="s">
        <v>527</v>
      </c>
      <c r="J118" s="17" t="s">
        <v>528</v>
      </c>
    </row>
    <row r="119">
      <c r="A119" s="34"/>
      <c r="B119" s="34" t="s">
        <v>463</v>
      </c>
      <c r="C119" s="6" t="s">
        <v>529</v>
      </c>
      <c r="D119" s="6" t="s">
        <v>145</v>
      </c>
      <c r="E119" s="16" t="s">
        <v>530</v>
      </c>
      <c r="F119" s="8">
        <f t="shared" si="6"/>
        <v>2</v>
      </c>
      <c r="G119" s="6" t="s">
        <v>531</v>
      </c>
      <c r="H119" s="6"/>
      <c r="I119" s="17" t="s">
        <v>532</v>
      </c>
      <c r="J119" s="17" t="s">
        <v>533</v>
      </c>
    </row>
    <row r="120">
      <c r="A120" s="34"/>
      <c r="B120" s="34" t="s">
        <v>463</v>
      </c>
      <c r="C120" s="6" t="s">
        <v>534</v>
      </c>
      <c r="D120" s="6" t="s">
        <v>31</v>
      </c>
      <c r="E120" s="17" t="s">
        <v>535</v>
      </c>
      <c r="F120" s="8">
        <f t="shared" si="6"/>
        <v>2</v>
      </c>
      <c r="G120" s="6" t="s">
        <v>536</v>
      </c>
      <c r="H120" s="6"/>
      <c r="I120" s="17" t="s">
        <v>537</v>
      </c>
      <c r="J120" s="17" t="s">
        <v>538</v>
      </c>
    </row>
    <row r="121">
      <c r="A121" s="34"/>
      <c r="B121" s="34" t="s">
        <v>463</v>
      </c>
      <c r="C121" s="6" t="s">
        <v>539</v>
      </c>
      <c r="D121" s="6" t="s">
        <v>31</v>
      </c>
      <c r="E121" s="17" t="s">
        <v>540</v>
      </c>
      <c r="F121" s="8">
        <f t="shared" si="6"/>
        <v>2</v>
      </c>
      <c r="G121" s="6" t="s">
        <v>541</v>
      </c>
      <c r="H121" s="6"/>
      <c r="I121" s="17" t="s">
        <v>542</v>
      </c>
      <c r="J121" s="17" t="s">
        <v>543</v>
      </c>
    </row>
    <row r="122">
      <c r="A122" s="34"/>
      <c r="B122" s="34" t="s">
        <v>463</v>
      </c>
      <c r="C122" s="6" t="s">
        <v>544</v>
      </c>
      <c r="D122" s="6" t="s">
        <v>31</v>
      </c>
      <c r="E122" s="17" t="s">
        <v>545</v>
      </c>
      <c r="F122" s="8">
        <f t="shared" si="6"/>
        <v>2</v>
      </c>
      <c r="G122" s="6" t="s">
        <v>546</v>
      </c>
      <c r="H122" s="6"/>
      <c r="I122" s="17" t="s">
        <v>547</v>
      </c>
      <c r="J122" s="17" t="s">
        <v>548</v>
      </c>
    </row>
    <row r="123">
      <c r="A123" s="34"/>
      <c r="B123" s="34" t="s">
        <v>463</v>
      </c>
      <c r="C123" s="6" t="s">
        <v>549</v>
      </c>
      <c r="D123" s="6" t="s">
        <v>31</v>
      </c>
      <c r="E123" s="17" t="s">
        <v>550</v>
      </c>
      <c r="F123" s="8">
        <f t="shared" si="6"/>
        <v>1</v>
      </c>
      <c r="G123" s="6" t="s">
        <v>551</v>
      </c>
      <c r="H123" s="6"/>
      <c r="I123" s="20"/>
      <c r="J123" s="17" t="s">
        <v>552</v>
      </c>
    </row>
    <row r="124">
      <c r="A124" s="34"/>
      <c r="B124" s="34" t="s">
        <v>463</v>
      </c>
      <c r="C124" s="6" t="s">
        <v>553</v>
      </c>
      <c r="D124" s="6" t="s">
        <v>31</v>
      </c>
      <c r="E124" s="17" t="s">
        <v>554</v>
      </c>
      <c r="F124" s="8">
        <f t="shared" si="6"/>
        <v>2</v>
      </c>
      <c r="G124" s="6" t="s">
        <v>555</v>
      </c>
      <c r="H124" s="6"/>
      <c r="I124" s="17" t="s">
        <v>556</v>
      </c>
      <c r="J124" s="17" t="s">
        <v>557</v>
      </c>
    </row>
    <row r="125">
      <c r="A125" s="34"/>
      <c r="B125" s="34" t="s">
        <v>463</v>
      </c>
      <c r="C125" s="6" t="s">
        <v>558</v>
      </c>
      <c r="D125" s="6" t="s">
        <v>40</v>
      </c>
      <c r="E125" s="23" t="s">
        <v>559</v>
      </c>
      <c r="F125" s="8">
        <f t="shared" si="6"/>
        <v>1</v>
      </c>
      <c r="G125" s="6" t="s">
        <v>560</v>
      </c>
      <c r="H125" s="6"/>
      <c r="I125" s="23" t="s">
        <v>561</v>
      </c>
      <c r="J125" s="38"/>
    </row>
    <row r="126">
      <c r="A126" s="34"/>
      <c r="B126" s="34" t="s">
        <v>463</v>
      </c>
      <c r="C126" s="6" t="s">
        <v>562</v>
      </c>
      <c r="D126" s="6" t="s">
        <v>40</v>
      </c>
      <c r="E126" s="17" t="s">
        <v>563</v>
      </c>
      <c r="F126" s="8">
        <f t="shared" si="6"/>
        <v>2</v>
      </c>
      <c r="G126" s="6" t="s">
        <v>564</v>
      </c>
      <c r="H126" s="6"/>
      <c r="I126" s="17" t="s">
        <v>565</v>
      </c>
      <c r="J126" s="17" t="s">
        <v>566</v>
      </c>
    </row>
    <row r="127">
      <c r="A127" s="34"/>
      <c r="B127" s="34" t="s">
        <v>463</v>
      </c>
      <c r="C127" s="6" t="s">
        <v>567</v>
      </c>
      <c r="D127" s="6" t="s">
        <v>40</v>
      </c>
      <c r="E127" s="17" t="s">
        <v>568</v>
      </c>
      <c r="F127" s="8">
        <f t="shared" si="6"/>
        <v>2</v>
      </c>
      <c r="G127" s="6" t="s">
        <v>569</v>
      </c>
      <c r="H127" s="6"/>
      <c r="I127" s="17" t="s">
        <v>570</v>
      </c>
      <c r="J127" s="17" t="s">
        <v>571</v>
      </c>
    </row>
    <row r="128">
      <c r="A128" s="34"/>
      <c r="B128" s="34" t="s">
        <v>463</v>
      </c>
      <c r="C128" s="6" t="s">
        <v>572</v>
      </c>
      <c r="D128" s="6" t="s">
        <v>40</v>
      </c>
      <c r="E128" s="17" t="s">
        <v>573</v>
      </c>
      <c r="F128" s="8">
        <f t="shared" si="6"/>
        <v>2</v>
      </c>
      <c r="G128" s="6" t="s">
        <v>574</v>
      </c>
      <c r="H128" s="6"/>
      <c r="I128" s="17" t="s">
        <v>575</v>
      </c>
      <c r="J128" s="17" t="s">
        <v>576</v>
      </c>
    </row>
    <row r="129">
      <c r="A129" s="34"/>
      <c r="B129" s="34" t="s">
        <v>463</v>
      </c>
      <c r="C129" s="6" t="s">
        <v>577</v>
      </c>
      <c r="D129" s="6" t="s">
        <v>40</v>
      </c>
      <c r="E129" s="17" t="s">
        <v>578</v>
      </c>
      <c r="F129" s="8">
        <f t="shared" si="6"/>
        <v>2</v>
      </c>
      <c r="G129" s="6" t="s">
        <v>579</v>
      </c>
      <c r="H129" s="6"/>
      <c r="I129" s="17" t="s">
        <v>580</v>
      </c>
      <c r="J129" s="17" t="s">
        <v>581</v>
      </c>
    </row>
    <row r="130">
      <c r="A130" s="34"/>
      <c r="B130" s="34" t="s">
        <v>463</v>
      </c>
      <c r="C130" s="6" t="s">
        <v>582</v>
      </c>
      <c r="D130" s="6" t="s">
        <v>40</v>
      </c>
      <c r="E130" s="17" t="s">
        <v>583</v>
      </c>
      <c r="F130" s="8">
        <f t="shared" si="6"/>
        <v>2</v>
      </c>
      <c r="G130" s="6" t="s">
        <v>584</v>
      </c>
      <c r="H130" s="6"/>
      <c r="I130" s="17" t="s">
        <v>585</v>
      </c>
      <c r="J130" s="17" t="s">
        <v>586</v>
      </c>
    </row>
    <row r="131">
      <c r="A131" s="34"/>
      <c r="B131" s="34" t="s">
        <v>463</v>
      </c>
      <c r="C131" s="6" t="s">
        <v>587</v>
      </c>
      <c r="D131" s="6" t="s">
        <v>40</v>
      </c>
      <c r="E131" s="17" t="s">
        <v>588</v>
      </c>
      <c r="F131" s="8">
        <f t="shared" si="6"/>
        <v>2</v>
      </c>
      <c r="G131" s="6" t="s">
        <v>589</v>
      </c>
      <c r="H131" s="6"/>
      <c r="I131" s="17" t="s">
        <v>590</v>
      </c>
      <c r="J131" s="17" t="s">
        <v>591</v>
      </c>
    </row>
    <row r="132">
      <c r="A132" s="34"/>
      <c r="B132" s="34" t="s">
        <v>463</v>
      </c>
      <c r="C132" s="6" t="s">
        <v>592</v>
      </c>
      <c r="D132" s="6" t="s">
        <v>40</v>
      </c>
      <c r="E132" s="17" t="s">
        <v>593</v>
      </c>
      <c r="F132" s="8">
        <f t="shared" si="6"/>
        <v>2</v>
      </c>
      <c r="G132" s="6" t="s">
        <v>594</v>
      </c>
      <c r="H132" s="6"/>
      <c r="I132" s="17" t="s">
        <v>595</v>
      </c>
      <c r="J132" s="17" t="s">
        <v>596</v>
      </c>
    </row>
    <row r="133">
      <c r="A133" s="34"/>
      <c r="B133" s="34" t="s">
        <v>463</v>
      </c>
      <c r="C133" s="6" t="s">
        <v>597</v>
      </c>
      <c r="D133" s="6" t="s">
        <v>40</v>
      </c>
      <c r="E133" s="17" t="s">
        <v>598</v>
      </c>
      <c r="F133" s="8">
        <f t="shared" si="6"/>
        <v>2</v>
      </c>
      <c r="G133" s="6" t="s">
        <v>599</v>
      </c>
      <c r="H133" s="6"/>
      <c r="I133" s="17" t="s">
        <v>600</v>
      </c>
      <c r="J133" s="17" t="s">
        <v>601</v>
      </c>
    </row>
    <row r="134">
      <c r="A134" s="34"/>
      <c r="B134" s="34" t="s">
        <v>463</v>
      </c>
      <c r="C134" s="6" t="s">
        <v>602</v>
      </c>
      <c r="D134" s="6" t="s">
        <v>40</v>
      </c>
      <c r="E134" s="17" t="s">
        <v>603</v>
      </c>
      <c r="F134" s="8">
        <f t="shared" si="6"/>
        <v>2</v>
      </c>
      <c r="G134" s="6" t="s">
        <v>604</v>
      </c>
      <c r="H134" s="6"/>
      <c r="I134" s="17" t="s">
        <v>605</v>
      </c>
      <c r="J134" s="17" t="s">
        <v>606</v>
      </c>
    </row>
    <row r="135">
      <c r="A135" s="34"/>
      <c r="B135" s="34" t="s">
        <v>463</v>
      </c>
      <c r="C135" s="6" t="s">
        <v>607</v>
      </c>
      <c r="D135" s="6" t="s">
        <v>40</v>
      </c>
      <c r="E135" s="17" t="s">
        <v>608</v>
      </c>
      <c r="F135" s="8">
        <f t="shared" si="6"/>
        <v>2</v>
      </c>
      <c r="G135" s="6" t="s">
        <v>609</v>
      </c>
      <c r="H135" s="6"/>
      <c r="I135" s="17" t="s">
        <v>610</v>
      </c>
      <c r="J135" s="17" t="s">
        <v>611</v>
      </c>
    </row>
    <row r="136">
      <c r="A136" s="34"/>
      <c r="B136" s="34" t="s">
        <v>463</v>
      </c>
      <c r="C136" s="6" t="s">
        <v>612</v>
      </c>
      <c r="D136" s="6" t="s">
        <v>40</v>
      </c>
      <c r="E136" s="17" t="s">
        <v>613</v>
      </c>
      <c r="F136" s="8">
        <f t="shared" si="6"/>
        <v>2</v>
      </c>
      <c r="G136" s="6" t="s">
        <v>614</v>
      </c>
      <c r="H136" s="6"/>
      <c r="I136" s="17" t="s">
        <v>615</v>
      </c>
      <c r="J136" s="17" t="s">
        <v>616</v>
      </c>
    </row>
    <row r="137">
      <c r="A137" s="34"/>
      <c r="B137" s="34" t="s">
        <v>463</v>
      </c>
      <c r="C137" s="6" t="s">
        <v>617</v>
      </c>
      <c r="D137" s="6" t="s">
        <v>617</v>
      </c>
      <c r="E137" s="17" t="s">
        <v>618</v>
      </c>
      <c r="F137" s="8">
        <f t="shared" si="6"/>
        <v>2</v>
      </c>
      <c r="G137" s="6" t="s">
        <v>619</v>
      </c>
      <c r="H137" s="6"/>
      <c r="I137" s="17" t="s">
        <v>620</v>
      </c>
      <c r="J137" s="17" t="s">
        <v>621</v>
      </c>
    </row>
    <row r="138">
      <c r="A138" s="34"/>
      <c r="B138" s="34" t="s">
        <v>463</v>
      </c>
      <c r="C138" s="6" t="s">
        <v>622</v>
      </c>
      <c r="D138" s="6" t="s">
        <v>40</v>
      </c>
      <c r="E138" s="17" t="s">
        <v>623</v>
      </c>
      <c r="F138" s="8">
        <f t="shared" si="6"/>
        <v>2</v>
      </c>
      <c r="G138" s="6" t="s">
        <v>624</v>
      </c>
      <c r="H138" s="6"/>
      <c r="I138" s="17" t="s">
        <v>625</v>
      </c>
      <c r="J138" s="17" t="s">
        <v>626</v>
      </c>
    </row>
    <row r="139">
      <c r="A139" s="34"/>
      <c r="B139" s="34" t="s">
        <v>463</v>
      </c>
      <c r="C139" s="6" t="s">
        <v>627</v>
      </c>
      <c r="D139" s="6" t="s">
        <v>627</v>
      </c>
      <c r="E139" s="17" t="s">
        <v>628</v>
      </c>
      <c r="F139" s="8">
        <f t="shared" si="6"/>
        <v>2</v>
      </c>
      <c r="G139" s="6" t="s">
        <v>629</v>
      </c>
      <c r="H139" s="6"/>
      <c r="I139" s="17" t="s">
        <v>630</v>
      </c>
      <c r="J139" s="17" t="s">
        <v>631</v>
      </c>
    </row>
    <row r="140">
      <c r="A140" s="34"/>
      <c r="B140" s="34" t="s">
        <v>463</v>
      </c>
      <c r="C140" s="6" t="s">
        <v>632</v>
      </c>
      <c r="D140" s="6" t="s">
        <v>483</v>
      </c>
      <c r="E140" s="17" t="s">
        <v>633</v>
      </c>
      <c r="F140" s="8">
        <f t="shared" si="6"/>
        <v>2</v>
      </c>
      <c r="G140" s="6" t="s">
        <v>634</v>
      </c>
      <c r="H140" s="6"/>
      <c r="I140" s="17" t="s">
        <v>635</v>
      </c>
      <c r="J140" s="17" t="s">
        <v>636</v>
      </c>
    </row>
    <row r="141">
      <c r="A141" s="34"/>
      <c r="B141" s="34" t="s">
        <v>463</v>
      </c>
      <c r="C141" s="6" t="s">
        <v>637</v>
      </c>
      <c r="D141" s="6" t="s">
        <v>483</v>
      </c>
      <c r="E141" s="17" t="s">
        <v>638</v>
      </c>
      <c r="F141" s="8">
        <f t="shared" si="6"/>
        <v>2</v>
      </c>
      <c r="G141" s="6" t="s">
        <v>639</v>
      </c>
      <c r="H141" s="6"/>
      <c r="I141" s="17" t="s">
        <v>640</v>
      </c>
      <c r="J141" s="17" t="s">
        <v>641</v>
      </c>
    </row>
    <row r="142">
      <c r="A142" s="34"/>
      <c r="B142" s="34" t="s">
        <v>463</v>
      </c>
      <c r="C142" s="6" t="s">
        <v>642</v>
      </c>
      <c r="D142" s="6" t="s">
        <v>483</v>
      </c>
      <c r="E142" s="17" t="s">
        <v>643</v>
      </c>
      <c r="F142" s="8">
        <f t="shared" si="6"/>
        <v>2</v>
      </c>
      <c r="G142" s="6" t="s">
        <v>644</v>
      </c>
      <c r="H142" s="6"/>
      <c r="I142" s="17" t="s">
        <v>645</v>
      </c>
      <c r="J142" s="17" t="s">
        <v>646</v>
      </c>
    </row>
    <row r="143">
      <c r="A143" s="34"/>
      <c r="B143" s="34" t="s">
        <v>463</v>
      </c>
      <c r="C143" s="6" t="s">
        <v>647</v>
      </c>
      <c r="D143" s="6" t="s">
        <v>483</v>
      </c>
      <c r="E143" s="17" t="s">
        <v>648</v>
      </c>
      <c r="F143" s="8">
        <f t="shared" si="6"/>
        <v>2</v>
      </c>
      <c r="G143" s="6" t="s">
        <v>649</v>
      </c>
      <c r="H143" s="6"/>
      <c r="I143" s="17" t="s">
        <v>650</v>
      </c>
      <c r="J143" s="17" t="s">
        <v>651</v>
      </c>
    </row>
    <row r="144">
      <c r="A144" s="34"/>
      <c r="B144" s="34" t="s">
        <v>463</v>
      </c>
      <c r="C144" s="6" t="s">
        <v>652</v>
      </c>
      <c r="D144" s="6" t="s">
        <v>483</v>
      </c>
      <c r="E144" s="17" t="s">
        <v>653</v>
      </c>
      <c r="F144" s="8">
        <f t="shared" si="6"/>
        <v>2</v>
      </c>
      <c r="G144" s="6" t="s">
        <v>654</v>
      </c>
      <c r="H144" s="6"/>
      <c r="I144" s="17" t="s">
        <v>655</v>
      </c>
      <c r="J144" s="17" t="s">
        <v>656</v>
      </c>
    </row>
    <row r="145">
      <c r="A145" s="34"/>
      <c r="B145" s="34" t="s">
        <v>463</v>
      </c>
      <c r="C145" s="6" t="s">
        <v>657</v>
      </c>
      <c r="D145" s="6" t="s">
        <v>40</v>
      </c>
      <c r="E145" s="17" t="s">
        <v>658</v>
      </c>
      <c r="F145" s="8">
        <f t="shared" si="6"/>
        <v>2</v>
      </c>
      <c r="G145" s="6" t="s">
        <v>659</v>
      </c>
      <c r="H145" s="6"/>
      <c r="I145" s="17" t="s">
        <v>660</v>
      </c>
      <c r="J145" s="17" t="s">
        <v>661</v>
      </c>
    </row>
    <row r="146">
      <c r="A146" s="34"/>
      <c r="B146" s="34" t="s">
        <v>463</v>
      </c>
      <c r="C146" s="6" t="s">
        <v>662</v>
      </c>
      <c r="D146" s="6" t="s">
        <v>663</v>
      </c>
      <c r="E146" s="17" t="s">
        <v>664</v>
      </c>
      <c r="F146" s="8">
        <f t="shared" si="6"/>
        <v>2</v>
      </c>
      <c r="G146" s="6" t="s">
        <v>665</v>
      </c>
      <c r="H146" s="6"/>
      <c r="I146" s="17" t="s">
        <v>666</v>
      </c>
      <c r="J146" s="17" t="s">
        <v>667</v>
      </c>
    </row>
    <row r="147">
      <c r="A147" s="34"/>
      <c r="B147" s="34" t="s">
        <v>463</v>
      </c>
      <c r="C147" s="6" t="s">
        <v>668</v>
      </c>
      <c r="D147" s="6" t="s">
        <v>26</v>
      </c>
      <c r="E147" s="17" t="s">
        <v>669</v>
      </c>
      <c r="F147" s="8">
        <f t="shared" si="6"/>
        <v>2</v>
      </c>
      <c r="G147" s="6" t="s">
        <v>670</v>
      </c>
      <c r="H147" s="6"/>
      <c r="I147" s="17" t="s">
        <v>671</v>
      </c>
      <c r="J147" s="17" t="s">
        <v>672</v>
      </c>
    </row>
    <row r="148">
      <c r="A148" s="34"/>
      <c r="B148" s="34" t="s">
        <v>463</v>
      </c>
      <c r="C148" s="6" t="s">
        <v>673</v>
      </c>
      <c r="D148" s="6" t="s">
        <v>145</v>
      </c>
      <c r="E148" s="17" t="s">
        <v>674</v>
      </c>
      <c r="F148" s="8">
        <f t="shared" si="6"/>
        <v>2</v>
      </c>
      <c r="G148" s="6" t="s">
        <v>675</v>
      </c>
      <c r="H148" s="6"/>
      <c r="I148" s="17" t="s">
        <v>676</v>
      </c>
      <c r="J148" s="17" t="s">
        <v>677</v>
      </c>
    </row>
    <row r="149">
      <c r="A149" s="34"/>
      <c r="B149" s="34" t="s">
        <v>463</v>
      </c>
      <c r="C149" s="6" t="s">
        <v>678</v>
      </c>
      <c r="D149" s="6" t="s">
        <v>483</v>
      </c>
      <c r="E149" s="17" t="s">
        <v>679</v>
      </c>
      <c r="F149" s="8">
        <f t="shared" si="6"/>
        <v>2</v>
      </c>
      <c r="G149" s="6" t="s">
        <v>680</v>
      </c>
      <c r="H149" s="6"/>
      <c r="I149" s="17" t="s">
        <v>681</v>
      </c>
      <c r="J149" s="17" t="s">
        <v>682</v>
      </c>
    </row>
    <row r="150">
      <c r="A150" s="34"/>
      <c r="B150" s="34" t="s">
        <v>463</v>
      </c>
      <c r="C150" s="6" t="s">
        <v>683</v>
      </c>
      <c r="D150" s="6" t="s">
        <v>483</v>
      </c>
      <c r="E150" s="17" t="s">
        <v>684</v>
      </c>
      <c r="F150" s="8">
        <f t="shared" si="6"/>
        <v>2</v>
      </c>
      <c r="G150" s="6" t="s">
        <v>685</v>
      </c>
      <c r="H150" s="6"/>
      <c r="I150" s="17" t="s">
        <v>686</v>
      </c>
      <c r="J150" s="17" t="s">
        <v>687</v>
      </c>
    </row>
    <row r="151">
      <c r="A151" s="34"/>
      <c r="B151" s="34" t="s">
        <v>463</v>
      </c>
      <c r="C151" s="6" t="s">
        <v>688</v>
      </c>
      <c r="D151" s="6" t="s">
        <v>483</v>
      </c>
      <c r="E151" s="17" t="s">
        <v>689</v>
      </c>
      <c r="F151" s="8">
        <f t="shared" si="6"/>
        <v>2</v>
      </c>
      <c r="G151" s="6" t="s">
        <v>690</v>
      </c>
      <c r="H151" s="6"/>
      <c r="I151" s="17" t="s">
        <v>691</v>
      </c>
      <c r="J151" s="17" t="s">
        <v>692</v>
      </c>
    </row>
    <row r="152">
      <c r="A152" s="34"/>
      <c r="B152" s="34" t="s">
        <v>463</v>
      </c>
      <c r="C152" s="6" t="s">
        <v>693</v>
      </c>
      <c r="D152" s="6" t="s">
        <v>483</v>
      </c>
      <c r="E152" s="17" t="s">
        <v>694</v>
      </c>
      <c r="F152" s="8">
        <f t="shared" si="6"/>
        <v>2</v>
      </c>
      <c r="G152" s="6" t="s">
        <v>695</v>
      </c>
      <c r="H152" s="6"/>
      <c r="I152" s="17" t="s">
        <v>696</v>
      </c>
      <c r="J152" s="17" t="s">
        <v>697</v>
      </c>
    </row>
    <row r="153">
      <c r="A153" s="34"/>
      <c r="B153" s="34" t="s">
        <v>463</v>
      </c>
      <c r="C153" s="6" t="s">
        <v>698</v>
      </c>
      <c r="D153" s="6" t="s">
        <v>483</v>
      </c>
      <c r="E153" s="17" t="s">
        <v>699</v>
      </c>
      <c r="F153" s="8">
        <f t="shared" si="6"/>
        <v>2</v>
      </c>
      <c r="G153" s="6" t="s">
        <v>700</v>
      </c>
      <c r="H153" s="6"/>
      <c r="I153" s="17" t="s">
        <v>701</v>
      </c>
      <c r="J153" s="17" t="s">
        <v>702</v>
      </c>
    </row>
    <row r="154">
      <c r="A154" s="33"/>
      <c r="B154" s="33"/>
      <c r="C154" s="39"/>
      <c r="D154" s="39"/>
      <c r="E154" s="15"/>
      <c r="F154" s="14"/>
      <c r="G154" s="12"/>
      <c r="H154" s="39"/>
      <c r="I154" s="40"/>
      <c r="J154" s="15"/>
    </row>
    <row r="155">
      <c r="A155" s="4" t="s">
        <v>10</v>
      </c>
      <c r="B155" s="34" t="s">
        <v>703</v>
      </c>
      <c r="C155" s="9" t="s">
        <v>704</v>
      </c>
      <c r="D155" s="9" t="s">
        <v>705</v>
      </c>
      <c r="E155" s="17" t="s">
        <v>706</v>
      </c>
      <c r="F155" s="8">
        <f t="shared" ref="F155:F176" si="7">counta(I155:J155)</f>
        <v>1</v>
      </c>
      <c r="G155" s="6" t="s">
        <v>707</v>
      </c>
      <c r="H155" s="9"/>
      <c r="I155" s="20"/>
      <c r="J155" s="17" t="s">
        <v>708</v>
      </c>
    </row>
    <row r="156">
      <c r="A156" s="34"/>
      <c r="B156" s="34" t="s">
        <v>703</v>
      </c>
      <c r="C156" s="6" t="s">
        <v>709</v>
      </c>
      <c r="D156" s="6" t="s">
        <v>40</v>
      </c>
      <c r="E156" s="17" t="s">
        <v>710</v>
      </c>
      <c r="F156" s="8">
        <f t="shared" si="7"/>
        <v>1</v>
      </c>
      <c r="G156" s="6" t="s">
        <v>711</v>
      </c>
      <c r="H156" s="6"/>
      <c r="I156" s="20"/>
      <c r="J156" s="17" t="s">
        <v>712</v>
      </c>
    </row>
    <row r="157">
      <c r="A157" s="34"/>
      <c r="B157" s="34" t="s">
        <v>703</v>
      </c>
      <c r="C157" s="6" t="s">
        <v>713</v>
      </c>
      <c r="D157" s="6" t="s">
        <v>40</v>
      </c>
      <c r="E157" s="17" t="s">
        <v>714</v>
      </c>
      <c r="F157" s="8">
        <f t="shared" si="7"/>
        <v>1</v>
      </c>
      <c r="G157" s="6" t="s">
        <v>715</v>
      </c>
      <c r="H157" s="6"/>
      <c r="I157" s="20"/>
      <c r="J157" s="17" t="s">
        <v>716</v>
      </c>
    </row>
    <row r="158">
      <c r="A158" s="34"/>
      <c r="B158" s="34" t="s">
        <v>703</v>
      </c>
      <c r="C158" s="6" t="s">
        <v>717</v>
      </c>
      <c r="D158" s="6" t="s">
        <v>40</v>
      </c>
      <c r="E158" s="17" t="s">
        <v>718</v>
      </c>
      <c r="F158" s="8">
        <f t="shared" si="7"/>
        <v>1</v>
      </c>
      <c r="G158" s="6" t="s">
        <v>719</v>
      </c>
      <c r="H158" s="6"/>
      <c r="I158" s="20"/>
      <c r="J158" s="17" t="s">
        <v>720</v>
      </c>
    </row>
    <row r="159">
      <c r="A159" s="34"/>
      <c r="B159" s="34" t="s">
        <v>703</v>
      </c>
      <c r="C159" s="6" t="s">
        <v>721</v>
      </c>
      <c r="D159" s="6" t="s">
        <v>40</v>
      </c>
      <c r="E159" s="17" t="s">
        <v>722</v>
      </c>
      <c r="F159" s="8">
        <f t="shared" si="7"/>
        <v>1</v>
      </c>
      <c r="G159" s="6" t="s">
        <v>723</v>
      </c>
      <c r="H159" s="6"/>
      <c r="I159" s="20"/>
      <c r="J159" s="17" t="s">
        <v>724</v>
      </c>
    </row>
    <row r="160">
      <c r="A160" s="34"/>
      <c r="B160" s="34" t="s">
        <v>703</v>
      </c>
      <c r="C160" s="6" t="s">
        <v>725</v>
      </c>
      <c r="D160" s="6" t="s">
        <v>26</v>
      </c>
      <c r="E160" s="16" t="s">
        <v>726</v>
      </c>
      <c r="F160" s="8">
        <f t="shared" si="7"/>
        <v>1</v>
      </c>
      <c r="G160" s="6" t="s">
        <v>727</v>
      </c>
      <c r="H160" s="6"/>
      <c r="I160" s="20"/>
      <c r="J160" s="17" t="s">
        <v>728</v>
      </c>
    </row>
    <row r="161">
      <c r="A161" s="34"/>
      <c r="B161" s="34" t="s">
        <v>703</v>
      </c>
      <c r="C161" s="6" t="s">
        <v>729</v>
      </c>
      <c r="D161" s="6" t="s">
        <v>145</v>
      </c>
      <c r="E161" s="16" t="s">
        <v>730</v>
      </c>
      <c r="F161" s="8">
        <f t="shared" si="7"/>
        <v>1</v>
      </c>
      <c r="G161" s="6" t="s">
        <v>731</v>
      </c>
      <c r="H161" s="6"/>
      <c r="I161" s="20"/>
      <c r="J161" s="17" t="s">
        <v>732</v>
      </c>
    </row>
    <row r="162">
      <c r="A162" s="34"/>
      <c r="B162" s="34" t="s">
        <v>703</v>
      </c>
      <c r="C162" s="6" t="s">
        <v>733</v>
      </c>
      <c r="D162" s="6" t="s">
        <v>40</v>
      </c>
      <c r="E162" s="16" t="s">
        <v>734</v>
      </c>
      <c r="F162" s="8">
        <f t="shared" si="7"/>
        <v>1</v>
      </c>
      <c r="G162" s="6" t="s">
        <v>735</v>
      </c>
      <c r="H162" s="6"/>
      <c r="I162" s="20"/>
      <c r="J162" s="17" t="s">
        <v>736</v>
      </c>
    </row>
    <row r="163">
      <c r="A163" s="34"/>
      <c r="B163" s="34" t="s">
        <v>703</v>
      </c>
      <c r="C163" s="6" t="s">
        <v>737</v>
      </c>
      <c r="D163" s="6" t="s">
        <v>26</v>
      </c>
      <c r="E163" s="16" t="s">
        <v>738</v>
      </c>
      <c r="F163" s="8">
        <f t="shared" si="7"/>
        <v>1</v>
      </c>
      <c r="G163" s="6" t="s">
        <v>739</v>
      </c>
      <c r="H163" s="6"/>
      <c r="I163" s="20"/>
      <c r="J163" s="17" t="s">
        <v>740</v>
      </c>
    </row>
    <row r="164">
      <c r="A164" s="34"/>
      <c r="B164" s="34" t="s">
        <v>703</v>
      </c>
      <c r="C164" s="6" t="s">
        <v>741</v>
      </c>
      <c r="D164" s="6" t="s">
        <v>145</v>
      </c>
      <c r="E164" s="16" t="s">
        <v>742</v>
      </c>
      <c r="F164" s="8">
        <f t="shared" si="7"/>
        <v>1</v>
      </c>
      <c r="G164" s="6" t="s">
        <v>743</v>
      </c>
      <c r="H164" s="6"/>
      <c r="I164" s="20"/>
      <c r="J164" s="17" t="s">
        <v>744</v>
      </c>
    </row>
    <row r="165">
      <c r="A165" s="34"/>
      <c r="B165" s="34" t="s">
        <v>703</v>
      </c>
      <c r="C165" s="6" t="s">
        <v>745</v>
      </c>
      <c r="D165" s="6" t="s">
        <v>26</v>
      </c>
      <c r="E165" s="16" t="s">
        <v>746</v>
      </c>
      <c r="F165" s="8">
        <f t="shared" si="7"/>
        <v>1</v>
      </c>
      <c r="G165" s="6" t="s">
        <v>747</v>
      </c>
      <c r="H165" s="6" t="s">
        <v>748</v>
      </c>
      <c r="I165" s="20"/>
      <c r="J165" s="17" t="s">
        <v>749</v>
      </c>
    </row>
    <row r="166">
      <c r="A166" s="34"/>
      <c r="B166" s="34" t="s">
        <v>703</v>
      </c>
      <c r="C166" s="6" t="s">
        <v>750</v>
      </c>
      <c r="D166" s="6" t="s">
        <v>145</v>
      </c>
      <c r="E166" s="16" t="s">
        <v>751</v>
      </c>
      <c r="F166" s="8">
        <f t="shared" si="7"/>
        <v>1</v>
      </c>
      <c r="G166" s="6" t="s">
        <v>752</v>
      </c>
      <c r="H166" s="6" t="s">
        <v>748</v>
      </c>
      <c r="I166" s="20"/>
      <c r="J166" s="17" t="s">
        <v>753</v>
      </c>
    </row>
    <row r="167">
      <c r="A167" s="34"/>
      <c r="B167" s="34" t="s">
        <v>703</v>
      </c>
      <c r="C167" s="6" t="s">
        <v>754</v>
      </c>
      <c r="D167" s="6" t="s">
        <v>483</v>
      </c>
      <c r="E167" s="17" t="s">
        <v>755</v>
      </c>
      <c r="F167" s="8">
        <f t="shared" si="7"/>
        <v>1</v>
      </c>
      <c r="G167" s="6" t="s">
        <v>756</v>
      </c>
      <c r="H167" s="6" t="s">
        <v>748</v>
      </c>
      <c r="I167" s="20"/>
      <c r="J167" s="17" t="s">
        <v>757</v>
      </c>
    </row>
    <row r="168">
      <c r="A168" s="34"/>
      <c r="B168" s="34" t="s">
        <v>703</v>
      </c>
      <c r="C168" s="6" t="s">
        <v>758</v>
      </c>
      <c r="D168" s="6" t="s">
        <v>483</v>
      </c>
      <c r="E168" s="17" t="s">
        <v>759</v>
      </c>
      <c r="F168" s="8">
        <f t="shared" si="7"/>
        <v>1</v>
      </c>
      <c r="G168" s="6" t="s">
        <v>760</v>
      </c>
      <c r="H168" s="6" t="s">
        <v>748</v>
      </c>
      <c r="I168" s="20"/>
      <c r="J168" s="17" t="s">
        <v>761</v>
      </c>
    </row>
    <row r="169">
      <c r="A169" s="34"/>
      <c r="B169" s="34" t="s">
        <v>703</v>
      </c>
      <c r="C169" s="6" t="s">
        <v>762</v>
      </c>
      <c r="D169" s="6" t="s">
        <v>483</v>
      </c>
      <c r="E169" s="17" t="s">
        <v>763</v>
      </c>
      <c r="F169" s="8">
        <f t="shared" si="7"/>
        <v>1</v>
      </c>
      <c r="G169" s="6" t="s">
        <v>764</v>
      </c>
      <c r="H169" s="6" t="s">
        <v>748</v>
      </c>
      <c r="I169" s="20"/>
      <c r="J169" s="17" t="s">
        <v>765</v>
      </c>
    </row>
    <row r="170">
      <c r="A170" s="34"/>
      <c r="B170" s="34" t="s">
        <v>703</v>
      </c>
      <c r="C170" s="6" t="s">
        <v>766</v>
      </c>
      <c r="D170" s="6" t="s">
        <v>483</v>
      </c>
      <c r="E170" s="17" t="s">
        <v>767</v>
      </c>
      <c r="F170" s="8">
        <f t="shared" si="7"/>
        <v>1</v>
      </c>
      <c r="G170" s="6" t="s">
        <v>768</v>
      </c>
      <c r="H170" s="6" t="s">
        <v>748</v>
      </c>
      <c r="I170" s="20"/>
      <c r="J170" s="17" t="s">
        <v>769</v>
      </c>
    </row>
    <row r="171">
      <c r="A171" s="34"/>
      <c r="B171" s="34" t="s">
        <v>703</v>
      </c>
      <c r="C171" s="6" t="s">
        <v>770</v>
      </c>
      <c r="D171" s="6" t="s">
        <v>26</v>
      </c>
      <c r="E171" s="16" t="s">
        <v>771</v>
      </c>
      <c r="F171" s="8">
        <f t="shared" si="7"/>
        <v>1</v>
      </c>
      <c r="G171" s="6" t="s">
        <v>772</v>
      </c>
      <c r="H171" s="6" t="s">
        <v>773</v>
      </c>
      <c r="I171" s="20"/>
      <c r="J171" s="17" t="s">
        <v>774</v>
      </c>
    </row>
    <row r="172">
      <c r="A172" s="34"/>
      <c r="B172" s="34" t="s">
        <v>703</v>
      </c>
      <c r="C172" s="6" t="s">
        <v>775</v>
      </c>
      <c r="D172" s="6" t="s">
        <v>145</v>
      </c>
      <c r="E172" s="16" t="s">
        <v>776</v>
      </c>
      <c r="F172" s="8">
        <f t="shared" si="7"/>
        <v>1</v>
      </c>
      <c r="G172" s="6" t="s">
        <v>777</v>
      </c>
      <c r="H172" s="6" t="s">
        <v>773</v>
      </c>
      <c r="I172" s="20"/>
      <c r="J172" s="17" t="s">
        <v>778</v>
      </c>
    </row>
    <row r="173">
      <c r="A173" s="34"/>
      <c r="B173" s="34" t="s">
        <v>703</v>
      </c>
      <c r="C173" s="6" t="s">
        <v>779</v>
      </c>
      <c r="D173" s="6" t="s">
        <v>483</v>
      </c>
      <c r="E173" s="17" t="s">
        <v>780</v>
      </c>
      <c r="F173" s="8">
        <f t="shared" si="7"/>
        <v>1</v>
      </c>
      <c r="G173" s="6" t="s">
        <v>781</v>
      </c>
      <c r="H173" s="6" t="s">
        <v>773</v>
      </c>
      <c r="I173" s="20"/>
      <c r="J173" s="17" t="s">
        <v>782</v>
      </c>
    </row>
    <row r="174">
      <c r="A174" s="34"/>
      <c r="B174" s="34" t="s">
        <v>703</v>
      </c>
      <c r="C174" s="6" t="s">
        <v>783</v>
      </c>
      <c r="D174" s="6" t="s">
        <v>483</v>
      </c>
      <c r="E174" s="17" t="s">
        <v>784</v>
      </c>
      <c r="F174" s="8">
        <f t="shared" si="7"/>
        <v>1</v>
      </c>
      <c r="G174" s="6" t="s">
        <v>785</v>
      </c>
      <c r="H174" s="6" t="s">
        <v>773</v>
      </c>
      <c r="I174" s="20"/>
      <c r="J174" s="17" t="s">
        <v>786</v>
      </c>
    </row>
    <row r="175">
      <c r="A175" s="34"/>
      <c r="B175" s="34" t="s">
        <v>703</v>
      </c>
      <c r="C175" s="6" t="s">
        <v>787</v>
      </c>
      <c r="D175" s="6" t="s">
        <v>483</v>
      </c>
      <c r="E175" s="17" t="s">
        <v>788</v>
      </c>
      <c r="F175" s="8">
        <f t="shared" si="7"/>
        <v>1</v>
      </c>
      <c r="G175" s="6" t="s">
        <v>789</v>
      </c>
      <c r="H175" s="6" t="s">
        <v>773</v>
      </c>
      <c r="I175" s="20"/>
      <c r="J175" s="17" t="s">
        <v>790</v>
      </c>
    </row>
    <row r="176">
      <c r="A176" s="34"/>
      <c r="B176" s="34" t="s">
        <v>703</v>
      </c>
      <c r="C176" s="6" t="s">
        <v>791</v>
      </c>
      <c r="D176" s="6" t="s">
        <v>483</v>
      </c>
      <c r="E176" s="17" t="s">
        <v>792</v>
      </c>
      <c r="F176" s="8">
        <f t="shared" si="7"/>
        <v>1</v>
      </c>
      <c r="G176" s="6" t="s">
        <v>793</v>
      </c>
      <c r="H176" s="6" t="s">
        <v>773</v>
      </c>
      <c r="I176" s="20"/>
      <c r="J176" s="17" t="s">
        <v>794</v>
      </c>
    </row>
    <row r="177">
      <c r="A177" s="33"/>
      <c r="B177" s="33"/>
      <c r="C177" s="12"/>
      <c r="D177" s="12"/>
      <c r="E177" s="15"/>
      <c r="F177" s="14"/>
      <c r="G177" s="12"/>
      <c r="H177" s="12"/>
      <c r="I177" s="15"/>
      <c r="J177" s="15"/>
    </row>
    <row r="178">
      <c r="A178" s="4" t="s">
        <v>10</v>
      </c>
      <c r="B178" s="41" t="s">
        <v>795</v>
      </c>
      <c r="C178" s="42" t="s">
        <v>796</v>
      </c>
      <c r="D178" s="41" t="s">
        <v>26</v>
      </c>
      <c r="E178" s="43" t="s">
        <v>797</v>
      </c>
      <c r="F178" s="8">
        <f t="shared" ref="F178:F186" si="8">counta(I178:J178)</f>
        <v>0</v>
      </c>
      <c r="G178" s="42" t="s">
        <v>798</v>
      </c>
      <c r="H178" s="6" t="s">
        <v>799</v>
      </c>
      <c r="I178" s="43"/>
      <c r="J178" s="43"/>
    </row>
    <row r="179">
      <c r="A179" s="43"/>
      <c r="B179" s="41" t="s">
        <v>795</v>
      </c>
      <c r="C179" s="42" t="s">
        <v>800</v>
      </c>
      <c r="D179" s="41" t="s">
        <v>145</v>
      </c>
      <c r="E179" s="43" t="s">
        <v>801</v>
      </c>
      <c r="F179" s="8">
        <f t="shared" si="8"/>
        <v>0</v>
      </c>
      <c r="G179" s="42" t="s">
        <v>802</v>
      </c>
      <c r="H179" s="43"/>
      <c r="I179" s="43"/>
      <c r="J179" s="43"/>
    </row>
    <row r="180">
      <c r="A180" s="21"/>
      <c r="B180" s="41" t="s">
        <v>795</v>
      </c>
      <c r="C180" s="42" t="s">
        <v>803</v>
      </c>
      <c r="D180" s="41" t="s">
        <v>483</v>
      </c>
      <c r="E180" s="43" t="s">
        <v>804</v>
      </c>
      <c r="F180" s="8">
        <f t="shared" si="8"/>
        <v>0</v>
      </c>
      <c r="G180" s="42" t="s">
        <v>805</v>
      </c>
      <c r="H180" s="43"/>
      <c r="I180" s="43"/>
      <c r="J180" s="43"/>
    </row>
    <row r="181">
      <c r="A181" s="43"/>
      <c r="B181" s="41" t="s">
        <v>795</v>
      </c>
      <c r="C181" s="42" t="s">
        <v>806</v>
      </c>
      <c r="D181" s="41" t="s">
        <v>483</v>
      </c>
      <c r="E181" s="43" t="s">
        <v>807</v>
      </c>
      <c r="F181" s="8">
        <f t="shared" si="8"/>
        <v>0</v>
      </c>
      <c r="G181" s="42" t="s">
        <v>808</v>
      </c>
      <c r="H181" s="43"/>
      <c r="I181" s="43"/>
      <c r="J181" s="43"/>
    </row>
    <row r="182">
      <c r="A182" s="43"/>
      <c r="B182" s="41" t="s">
        <v>795</v>
      </c>
      <c r="C182" s="42" t="s">
        <v>809</v>
      </c>
      <c r="D182" s="41" t="s">
        <v>483</v>
      </c>
      <c r="E182" s="43" t="s">
        <v>810</v>
      </c>
      <c r="F182" s="8">
        <f t="shared" si="8"/>
        <v>0</v>
      </c>
      <c r="G182" s="42" t="s">
        <v>811</v>
      </c>
      <c r="H182" s="43"/>
      <c r="I182" s="43"/>
      <c r="J182" s="43"/>
    </row>
    <row r="183">
      <c r="A183" s="43"/>
      <c r="B183" s="41" t="s">
        <v>795</v>
      </c>
      <c r="C183" s="42" t="s">
        <v>812</v>
      </c>
      <c r="D183" s="41" t="s">
        <v>40</v>
      </c>
      <c r="E183" s="43" t="s">
        <v>813</v>
      </c>
      <c r="F183" s="8">
        <f t="shared" si="8"/>
        <v>0</v>
      </c>
      <c r="G183" s="42" t="s">
        <v>814</v>
      </c>
      <c r="H183" s="43"/>
      <c r="I183" s="43"/>
      <c r="J183" s="43"/>
    </row>
    <row r="184">
      <c r="A184" s="43"/>
      <c r="B184" s="41" t="s">
        <v>795</v>
      </c>
      <c r="C184" s="42" t="s">
        <v>815</v>
      </c>
      <c r="D184" s="41" t="s">
        <v>40</v>
      </c>
      <c r="E184" s="43" t="s">
        <v>816</v>
      </c>
      <c r="F184" s="8">
        <f t="shared" si="8"/>
        <v>0</v>
      </c>
      <c r="G184" s="42" t="s">
        <v>817</v>
      </c>
      <c r="H184" s="43"/>
      <c r="I184" s="43"/>
      <c r="J184" s="43"/>
    </row>
    <row r="185">
      <c r="A185" s="43"/>
      <c r="B185" s="41" t="s">
        <v>795</v>
      </c>
      <c r="C185" s="42" t="s">
        <v>818</v>
      </c>
      <c r="D185" s="41" t="s">
        <v>40</v>
      </c>
      <c r="E185" s="43" t="s">
        <v>819</v>
      </c>
      <c r="F185" s="8">
        <f t="shared" si="8"/>
        <v>0</v>
      </c>
      <c r="G185" s="42" t="s">
        <v>820</v>
      </c>
      <c r="H185" s="43"/>
      <c r="I185" s="43"/>
      <c r="J185" s="43"/>
    </row>
    <row r="186">
      <c r="A186" s="43"/>
      <c r="B186" s="41" t="s">
        <v>795</v>
      </c>
      <c r="C186" s="42" t="s">
        <v>821</v>
      </c>
      <c r="D186" s="41" t="s">
        <v>40</v>
      </c>
      <c r="E186" s="43" t="s">
        <v>822</v>
      </c>
      <c r="F186" s="8">
        <f t="shared" si="8"/>
        <v>0</v>
      </c>
      <c r="G186" s="42" t="s">
        <v>823</v>
      </c>
      <c r="H186" s="43"/>
      <c r="I186" s="43"/>
      <c r="J186" s="43"/>
    </row>
    <row r="187">
      <c r="A187" s="33"/>
      <c r="B187" s="33"/>
      <c r="C187" s="12"/>
      <c r="D187" s="12"/>
      <c r="E187" s="15"/>
      <c r="F187" s="14"/>
      <c r="G187" s="12"/>
      <c r="H187" s="12"/>
      <c r="I187" s="15"/>
      <c r="J187" s="15"/>
    </row>
    <row r="188">
      <c r="A188" s="4" t="s">
        <v>10</v>
      </c>
      <c r="B188" s="41" t="s">
        <v>824</v>
      </c>
      <c r="C188" s="42" t="s">
        <v>825</v>
      </c>
      <c r="D188" s="41" t="s">
        <v>26</v>
      </c>
      <c r="E188" s="44" t="s">
        <v>826</v>
      </c>
      <c r="F188" s="8">
        <f t="shared" ref="F188:F195" si="9">counta(I188:J188)</f>
        <v>0</v>
      </c>
      <c r="G188" s="42" t="s">
        <v>827</v>
      </c>
      <c r="H188" s="6" t="s">
        <v>828</v>
      </c>
      <c r="I188" s="43"/>
      <c r="J188" s="43"/>
    </row>
    <row r="189">
      <c r="A189" s="43"/>
      <c r="B189" s="41" t="s">
        <v>824</v>
      </c>
      <c r="C189" s="42" t="s">
        <v>829</v>
      </c>
      <c r="D189" s="41" t="s">
        <v>145</v>
      </c>
      <c r="E189" s="44" t="s">
        <v>830</v>
      </c>
      <c r="F189" s="8">
        <f t="shared" si="9"/>
        <v>0</v>
      </c>
      <c r="G189" s="42" t="s">
        <v>831</v>
      </c>
      <c r="H189" s="43"/>
      <c r="I189" s="43"/>
      <c r="J189" s="43"/>
    </row>
    <row r="190">
      <c r="A190" s="43"/>
      <c r="B190" s="41" t="s">
        <v>824</v>
      </c>
      <c r="C190" s="42" t="s">
        <v>832</v>
      </c>
      <c r="D190" s="41" t="s">
        <v>833</v>
      </c>
      <c r="E190" s="43" t="s">
        <v>834</v>
      </c>
      <c r="F190" s="8">
        <f t="shared" si="9"/>
        <v>0</v>
      </c>
      <c r="G190" s="42" t="s">
        <v>835</v>
      </c>
      <c r="H190" s="43"/>
      <c r="I190" s="43"/>
      <c r="J190" s="43"/>
    </row>
    <row r="191">
      <c r="A191" s="43"/>
      <c r="B191" s="41" t="s">
        <v>824</v>
      </c>
      <c r="C191" s="42" t="s">
        <v>836</v>
      </c>
      <c r="D191" s="41" t="s">
        <v>483</v>
      </c>
      <c r="E191" s="43" t="s">
        <v>837</v>
      </c>
      <c r="F191" s="8">
        <f t="shared" si="9"/>
        <v>0</v>
      </c>
      <c r="G191" s="42" t="s">
        <v>838</v>
      </c>
      <c r="H191" s="43"/>
      <c r="I191" s="43"/>
      <c r="J191" s="43"/>
    </row>
    <row r="192">
      <c r="A192" s="43"/>
      <c r="B192" s="41" t="s">
        <v>824</v>
      </c>
      <c r="C192" s="42" t="s">
        <v>839</v>
      </c>
      <c r="D192" s="41" t="s">
        <v>483</v>
      </c>
      <c r="E192" s="43" t="s">
        <v>840</v>
      </c>
      <c r="F192" s="8">
        <f t="shared" si="9"/>
        <v>0</v>
      </c>
      <c r="G192" s="42" t="s">
        <v>841</v>
      </c>
      <c r="H192" s="43"/>
      <c r="I192" s="43"/>
      <c r="J192" s="43"/>
    </row>
    <row r="193">
      <c r="A193" s="43"/>
      <c r="B193" s="41" t="s">
        <v>824</v>
      </c>
      <c r="C193" s="42" t="s">
        <v>842</v>
      </c>
      <c r="D193" s="41" t="s">
        <v>483</v>
      </c>
      <c r="E193" s="43" t="s">
        <v>843</v>
      </c>
      <c r="F193" s="8">
        <f t="shared" si="9"/>
        <v>0</v>
      </c>
      <c r="G193" s="42" t="s">
        <v>844</v>
      </c>
      <c r="H193" s="43"/>
      <c r="I193" s="43"/>
      <c r="J193" s="43"/>
    </row>
    <row r="194">
      <c r="A194" s="43"/>
      <c r="B194" s="41" t="s">
        <v>824</v>
      </c>
      <c r="C194" s="42" t="s">
        <v>845</v>
      </c>
      <c r="D194" s="41" t="s">
        <v>483</v>
      </c>
      <c r="E194" s="43" t="s">
        <v>846</v>
      </c>
      <c r="F194" s="8">
        <f t="shared" si="9"/>
        <v>0</v>
      </c>
      <c r="G194" s="42" t="s">
        <v>847</v>
      </c>
      <c r="H194" s="43"/>
      <c r="I194" s="43"/>
      <c r="J194" s="43"/>
    </row>
    <row r="195">
      <c r="A195" s="43"/>
      <c r="B195" s="41" t="s">
        <v>824</v>
      </c>
      <c r="C195" s="42" t="s">
        <v>848</v>
      </c>
      <c r="D195" s="41" t="s">
        <v>483</v>
      </c>
      <c r="E195" s="43" t="s">
        <v>849</v>
      </c>
      <c r="F195" s="8">
        <f t="shared" si="9"/>
        <v>0</v>
      </c>
      <c r="G195" s="42" t="s">
        <v>850</v>
      </c>
      <c r="H195" s="43"/>
      <c r="I195" s="43"/>
      <c r="J195" s="43"/>
    </row>
    <row r="196">
      <c r="A196" s="45"/>
      <c r="B196" s="46"/>
      <c r="C196" s="45"/>
      <c r="D196" s="45"/>
      <c r="E196" s="45"/>
      <c r="F196" s="14"/>
      <c r="G196" s="45" t="s">
        <v>851</v>
      </c>
      <c r="H196" s="45"/>
      <c r="I196" s="45"/>
      <c r="J196" s="45"/>
    </row>
    <row r="197">
      <c r="A197" s="4" t="s">
        <v>10</v>
      </c>
      <c r="B197" s="41" t="s">
        <v>852</v>
      </c>
      <c r="C197" s="42" t="s">
        <v>853</v>
      </c>
      <c r="D197" s="41" t="s">
        <v>26</v>
      </c>
      <c r="E197" s="43" t="s">
        <v>854</v>
      </c>
      <c r="F197" s="8">
        <f t="shared" ref="F197:F209" si="10">counta(I197:J197)</f>
        <v>0</v>
      </c>
      <c r="G197" s="42" t="s">
        <v>855</v>
      </c>
      <c r="H197" s="6" t="s">
        <v>828</v>
      </c>
      <c r="I197" s="43"/>
      <c r="J197" s="43"/>
    </row>
    <row r="198">
      <c r="A198" s="43"/>
      <c r="B198" s="41" t="s">
        <v>852</v>
      </c>
      <c r="C198" s="42" t="s">
        <v>856</v>
      </c>
      <c r="D198" s="41" t="s">
        <v>145</v>
      </c>
      <c r="E198" s="43" t="s">
        <v>857</v>
      </c>
      <c r="F198" s="8">
        <f t="shared" si="10"/>
        <v>0</v>
      </c>
      <c r="G198" s="42" t="s">
        <v>858</v>
      </c>
      <c r="H198" s="43"/>
      <c r="I198" s="43"/>
      <c r="J198" s="43"/>
    </row>
    <row r="199">
      <c r="A199" s="43"/>
      <c r="B199" s="41" t="s">
        <v>852</v>
      </c>
      <c r="C199" s="42" t="s">
        <v>859</v>
      </c>
      <c r="D199" s="41" t="s">
        <v>663</v>
      </c>
      <c r="E199" s="43"/>
      <c r="F199" s="8">
        <f t="shared" si="10"/>
        <v>0</v>
      </c>
      <c r="G199" s="42" t="s">
        <v>860</v>
      </c>
      <c r="H199" s="43"/>
      <c r="I199" s="43"/>
      <c r="J199" s="43"/>
    </row>
    <row r="200">
      <c r="A200" s="43"/>
      <c r="B200" s="41" t="s">
        <v>852</v>
      </c>
      <c r="C200" s="42" t="s">
        <v>861</v>
      </c>
      <c r="D200" s="41" t="s">
        <v>483</v>
      </c>
      <c r="E200" s="43" t="s">
        <v>862</v>
      </c>
      <c r="F200" s="8">
        <f t="shared" si="10"/>
        <v>0</v>
      </c>
      <c r="G200" s="42" t="s">
        <v>863</v>
      </c>
      <c r="H200" s="43"/>
      <c r="I200" s="43"/>
      <c r="J200" s="43"/>
    </row>
    <row r="201">
      <c r="A201" s="43"/>
      <c r="B201" s="41" t="s">
        <v>852</v>
      </c>
      <c r="C201" s="42" t="s">
        <v>864</v>
      </c>
      <c r="D201" s="41" t="s">
        <v>483</v>
      </c>
      <c r="E201" s="43" t="s">
        <v>865</v>
      </c>
      <c r="F201" s="8">
        <f t="shared" si="10"/>
        <v>0</v>
      </c>
      <c r="G201" s="42" t="s">
        <v>866</v>
      </c>
      <c r="H201" s="43"/>
      <c r="I201" s="43"/>
      <c r="J201" s="43"/>
    </row>
    <row r="202">
      <c r="A202" s="43"/>
      <c r="B202" s="41" t="s">
        <v>852</v>
      </c>
      <c r="C202" s="42" t="s">
        <v>867</v>
      </c>
      <c r="D202" s="41" t="s">
        <v>483</v>
      </c>
      <c r="E202" s="43" t="s">
        <v>868</v>
      </c>
      <c r="F202" s="8">
        <f t="shared" si="10"/>
        <v>0</v>
      </c>
      <c r="G202" s="42" t="s">
        <v>869</v>
      </c>
      <c r="H202" s="43"/>
      <c r="I202" s="43"/>
      <c r="J202" s="43"/>
    </row>
    <row r="203">
      <c r="A203" s="43"/>
      <c r="B203" s="41" t="s">
        <v>852</v>
      </c>
      <c r="C203" s="42" t="s">
        <v>870</v>
      </c>
      <c r="D203" s="41" t="s">
        <v>483</v>
      </c>
      <c r="E203" s="43" t="s">
        <v>871</v>
      </c>
      <c r="F203" s="8">
        <f t="shared" si="10"/>
        <v>0</v>
      </c>
      <c r="G203" s="42" t="s">
        <v>872</v>
      </c>
      <c r="H203" s="43"/>
      <c r="I203" s="43"/>
      <c r="J203" s="43"/>
    </row>
    <row r="204">
      <c r="A204" s="43"/>
      <c r="B204" s="41" t="s">
        <v>852</v>
      </c>
      <c r="C204" s="42" t="s">
        <v>873</v>
      </c>
      <c r="D204" s="41" t="s">
        <v>483</v>
      </c>
      <c r="E204" s="43" t="s">
        <v>874</v>
      </c>
      <c r="F204" s="8">
        <f t="shared" si="10"/>
        <v>0</v>
      </c>
      <c r="G204" s="42" t="s">
        <v>875</v>
      </c>
      <c r="H204" s="43"/>
      <c r="I204" s="43"/>
      <c r="J204" s="43"/>
    </row>
    <row r="205">
      <c r="A205" s="43"/>
      <c r="B205" s="41" t="s">
        <v>852</v>
      </c>
      <c r="C205" s="42" t="s">
        <v>876</v>
      </c>
      <c r="D205" s="41" t="s">
        <v>483</v>
      </c>
      <c r="E205" s="43" t="s">
        <v>877</v>
      </c>
      <c r="F205" s="8">
        <f t="shared" si="10"/>
        <v>0</v>
      </c>
      <c r="G205" s="42" t="s">
        <v>878</v>
      </c>
      <c r="H205" s="43"/>
      <c r="I205" s="43"/>
      <c r="J205" s="43"/>
    </row>
    <row r="206">
      <c r="A206" s="43"/>
      <c r="B206" s="41" t="s">
        <v>852</v>
      </c>
      <c r="C206" s="42" t="s">
        <v>879</v>
      </c>
      <c r="D206" s="41" t="s">
        <v>483</v>
      </c>
      <c r="E206" s="43" t="s">
        <v>880</v>
      </c>
      <c r="F206" s="8">
        <f t="shared" si="10"/>
        <v>0</v>
      </c>
      <c r="G206" s="42" t="s">
        <v>881</v>
      </c>
      <c r="H206" s="43"/>
      <c r="I206" s="43"/>
      <c r="J206" s="43"/>
    </row>
    <row r="207">
      <c r="A207" s="43"/>
      <c r="B207" s="41" t="s">
        <v>852</v>
      </c>
      <c r="C207" s="42" t="s">
        <v>882</v>
      </c>
      <c r="D207" s="41" t="s">
        <v>483</v>
      </c>
      <c r="E207" s="43" t="s">
        <v>883</v>
      </c>
      <c r="F207" s="8">
        <f t="shared" si="10"/>
        <v>0</v>
      </c>
      <c r="G207" s="42" t="s">
        <v>884</v>
      </c>
      <c r="H207" s="43"/>
      <c r="I207" s="43"/>
      <c r="J207" s="43"/>
    </row>
    <row r="208">
      <c r="A208" s="43"/>
      <c r="B208" s="41" t="s">
        <v>852</v>
      </c>
      <c r="C208" s="42" t="s">
        <v>885</v>
      </c>
      <c r="D208" s="41" t="s">
        <v>483</v>
      </c>
      <c r="E208" s="43" t="s">
        <v>886</v>
      </c>
      <c r="F208" s="8">
        <f t="shared" si="10"/>
        <v>0</v>
      </c>
      <c r="G208" s="42" t="s">
        <v>887</v>
      </c>
      <c r="H208" s="43"/>
      <c r="I208" s="43"/>
      <c r="J208" s="43"/>
    </row>
    <row r="209">
      <c r="A209" s="43"/>
      <c r="B209" s="41" t="s">
        <v>852</v>
      </c>
      <c r="C209" s="42" t="s">
        <v>888</v>
      </c>
      <c r="D209" s="41" t="s">
        <v>483</v>
      </c>
      <c r="E209" s="43" t="s">
        <v>889</v>
      </c>
      <c r="F209" s="8">
        <f t="shared" si="10"/>
        <v>0</v>
      </c>
      <c r="G209" s="42" t="s">
        <v>890</v>
      </c>
      <c r="H209" s="43"/>
      <c r="I209" s="43"/>
      <c r="J209" s="43"/>
    </row>
    <row r="210">
      <c r="A210" s="45"/>
      <c r="B210" s="46"/>
      <c r="C210" s="45"/>
      <c r="D210" s="45"/>
      <c r="E210" s="45"/>
      <c r="F210" s="14"/>
      <c r="G210" s="45"/>
      <c r="H210" s="45"/>
      <c r="I210" s="45"/>
      <c r="J210" s="45"/>
    </row>
    <row r="211">
      <c r="A211" s="4" t="s">
        <v>10</v>
      </c>
      <c r="B211" s="34" t="s">
        <v>891</v>
      </c>
      <c r="C211" s="42" t="s">
        <v>892</v>
      </c>
      <c r="D211" s="41" t="s">
        <v>40</v>
      </c>
      <c r="E211" s="43" t="s">
        <v>893</v>
      </c>
      <c r="F211" s="8">
        <f t="shared" ref="F211:F221" si="11">counta(I211:J211)</f>
        <v>0</v>
      </c>
      <c r="G211" s="42" t="s">
        <v>894</v>
      </c>
      <c r="H211" s="6" t="s">
        <v>828</v>
      </c>
      <c r="I211" s="47"/>
      <c r="J211" s="43"/>
    </row>
    <row r="212">
      <c r="A212" s="21"/>
      <c r="B212" s="34" t="s">
        <v>891</v>
      </c>
      <c r="C212" s="42" t="s">
        <v>895</v>
      </c>
      <c r="D212" s="41" t="s">
        <v>26</v>
      </c>
      <c r="E212" s="43" t="s">
        <v>896</v>
      </c>
      <c r="F212" s="8">
        <f t="shared" si="11"/>
        <v>0</v>
      </c>
      <c r="G212" s="42" t="s">
        <v>897</v>
      </c>
      <c r="H212" s="43"/>
      <c r="I212" s="43"/>
      <c r="J212" s="37"/>
    </row>
    <row r="213">
      <c r="A213" s="43"/>
      <c r="B213" s="34" t="s">
        <v>891</v>
      </c>
      <c r="C213" s="42" t="s">
        <v>898</v>
      </c>
      <c r="D213" s="41" t="s">
        <v>145</v>
      </c>
      <c r="E213" s="43" t="s">
        <v>899</v>
      </c>
      <c r="F213" s="8">
        <f t="shared" si="11"/>
        <v>0</v>
      </c>
      <c r="G213" s="42" t="s">
        <v>900</v>
      </c>
      <c r="H213" s="43"/>
      <c r="I213" s="43"/>
      <c r="J213" s="37"/>
    </row>
    <row r="214">
      <c r="A214" s="43"/>
      <c r="B214" s="34" t="s">
        <v>891</v>
      </c>
      <c r="C214" s="42" t="s">
        <v>901</v>
      </c>
      <c r="D214" s="41" t="s">
        <v>483</v>
      </c>
      <c r="E214" s="43" t="s">
        <v>902</v>
      </c>
      <c r="F214" s="8">
        <f t="shared" si="11"/>
        <v>0</v>
      </c>
      <c r="G214" s="42" t="s">
        <v>903</v>
      </c>
      <c r="H214" s="43"/>
      <c r="I214" s="43"/>
      <c r="J214" s="43"/>
    </row>
    <row r="215">
      <c r="A215" s="43"/>
      <c r="B215" s="34" t="s">
        <v>891</v>
      </c>
      <c r="C215" s="42" t="s">
        <v>904</v>
      </c>
      <c r="D215" s="41" t="s">
        <v>483</v>
      </c>
      <c r="E215" s="43" t="s">
        <v>905</v>
      </c>
      <c r="F215" s="8">
        <f t="shared" si="11"/>
        <v>0</v>
      </c>
      <c r="G215" s="42" t="s">
        <v>906</v>
      </c>
      <c r="H215" s="43"/>
      <c r="I215" s="43"/>
      <c r="J215" s="43"/>
    </row>
    <row r="216">
      <c r="A216" s="43"/>
      <c r="B216" s="34" t="s">
        <v>891</v>
      </c>
      <c r="C216" s="42" t="s">
        <v>907</v>
      </c>
      <c r="D216" s="41" t="s">
        <v>483</v>
      </c>
      <c r="E216" s="43" t="s">
        <v>908</v>
      </c>
      <c r="F216" s="8">
        <f t="shared" si="11"/>
        <v>0</v>
      </c>
      <c r="G216" s="42" t="s">
        <v>909</v>
      </c>
      <c r="H216" s="43"/>
      <c r="I216" s="43"/>
      <c r="J216" s="43"/>
    </row>
    <row r="217">
      <c r="A217" s="43"/>
      <c r="B217" s="34" t="s">
        <v>891</v>
      </c>
      <c r="C217" s="42" t="s">
        <v>910</v>
      </c>
      <c r="D217" s="41" t="s">
        <v>483</v>
      </c>
      <c r="E217" s="43" t="s">
        <v>911</v>
      </c>
      <c r="F217" s="8">
        <f t="shared" si="11"/>
        <v>0</v>
      </c>
      <c r="G217" s="42" t="s">
        <v>912</v>
      </c>
      <c r="H217" s="43"/>
      <c r="I217" s="43"/>
      <c r="J217" s="43"/>
    </row>
    <row r="218">
      <c r="A218" s="43"/>
      <c r="B218" s="34" t="s">
        <v>891</v>
      </c>
      <c r="C218" s="42" t="s">
        <v>913</v>
      </c>
      <c r="D218" s="41" t="s">
        <v>483</v>
      </c>
      <c r="E218" s="43" t="s">
        <v>914</v>
      </c>
      <c r="F218" s="8">
        <f t="shared" si="11"/>
        <v>0</v>
      </c>
      <c r="G218" s="42" t="s">
        <v>915</v>
      </c>
      <c r="H218" s="43"/>
      <c r="I218" s="43"/>
      <c r="J218" s="43"/>
    </row>
    <row r="219">
      <c r="A219" s="43"/>
      <c r="B219" s="34" t="s">
        <v>891</v>
      </c>
      <c r="C219" s="42" t="s">
        <v>916</v>
      </c>
      <c r="D219" s="41" t="s">
        <v>483</v>
      </c>
      <c r="E219" s="43" t="s">
        <v>917</v>
      </c>
      <c r="F219" s="8">
        <f t="shared" si="11"/>
        <v>0</v>
      </c>
      <c r="G219" s="42" t="s">
        <v>918</v>
      </c>
      <c r="H219" s="43"/>
      <c r="I219" s="43"/>
      <c r="J219" s="43"/>
    </row>
    <row r="220">
      <c r="A220" s="43"/>
      <c r="B220" s="34" t="s">
        <v>891</v>
      </c>
      <c r="C220" s="42" t="s">
        <v>919</v>
      </c>
      <c r="D220" s="41" t="s">
        <v>483</v>
      </c>
      <c r="E220" s="43" t="s">
        <v>920</v>
      </c>
      <c r="F220" s="8">
        <f t="shared" si="11"/>
        <v>0</v>
      </c>
      <c r="G220" s="42" t="s">
        <v>921</v>
      </c>
      <c r="H220" s="43"/>
      <c r="I220" s="43"/>
      <c r="J220" s="43"/>
    </row>
    <row r="221">
      <c r="A221" s="43"/>
      <c r="B221" s="34" t="s">
        <v>891</v>
      </c>
      <c r="C221" s="42" t="s">
        <v>922</v>
      </c>
      <c r="D221" s="41" t="s">
        <v>483</v>
      </c>
      <c r="E221" s="43" t="s">
        <v>923</v>
      </c>
      <c r="F221" s="8">
        <f t="shared" si="11"/>
        <v>0</v>
      </c>
      <c r="G221" s="42" t="s">
        <v>924</v>
      </c>
      <c r="H221" s="43"/>
      <c r="I221" s="43"/>
      <c r="J221" s="43"/>
    </row>
    <row r="222">
      <c r="A222" s="45"/>
      <c r="B222" s="46"/>
      <c r="C222" s="45"/>
      <c r="D222" s="45"/>
      <c r="E222" s="45"/>
      <c r="F222" s="14"/>
      <c r="G222" s="45"/>
      <c r="H222" s="45"/>
      <c r="I222" s="45"/>
      <c r="J222" s="45"/>
    </row>
    <row r="223">
      <c r="A223" s="4" t="s">
        <v>10</v>
      </c>
      <c r="B223" s="34" t="s">
        <v>925</v>
      </c>
      <c r="C223" s="6" t="s">
        <v>926</v>
      </c>
      <c r="D223" s="6" t="s">
        <v>40</v>
      </c>
      <c r="E223" s="17" t="s">
        <v>927</v>
      </c>
      <c r="F223" s="8">
        <f t="shared" ref="F223:F233" si="12">counta(I223:J223)</f>
        <v>1</v>
      </c>
      <c r="G223" s="6" t="s">
        <v>928</v>
      </c>
      <c r="H223" s="6"/>
      <c r="I223" s="17" t="s">
        <v>929</v>
      </c>
      <c r="J223" s="17"/>
    </row>
    <row r="224">
      <c r="A224" s="34"/>
      <c r="B224" s="34" t="s">
        <v>925</v>
      </c>
      <c r="C224" s="6" t="s">
        <v>930</v>
      </c>
      <c r="D224" s="6" t="s">
        <v>931</v>
      </c>
      <c r="E224" s="17" t="s">
        <v>932</v>
      </c>
      <c r="F224" s="8">
        <f t="shared" si="12"/>
        <v>1</v>
      </c>
      <c r="G224" s="6" t="s">
        <v>933</v>
      </c>
      <c r="H224" s="6"/>
      <c r="I224" s="17" t="s">
        <v>934</v>
      </c>
      <c r="J224" s="17"/>
    </row>
    <row r="225">
      <c r="A225" s="34"/>
      <c r="B225" s="34" t="s">
        <v>925</v>
      </c>
      <c r="C225" s="6" t="s">
        <v>935</v>
      </c>
      <c r="D225" s="6" t="s">
        <v>26</v>
      </c>
      <c r="E225" s="17" t="s">
        <v>936</v>
      </c>
      <c r="F225" s="8">
        <f t="shared" si="12"/>
        <v>1</v>
      </c>
      <c r="G225" s="6" t="s">
        <v>937</v>
      </c>
      <c r="H225" s="6"/>
      <c r="I225" s="17" t="s">
        <v>938</v>
      </c>
      <c r="J225" s="17"/>
    </row>
    <row r="226">
      <c r="A226" s="34"/>
      <c r="B226" s="34" t="s">
        <v>925</v>
      </c>
      <c r="C226" s="6" t="s">
        <v>939</v>
      </c>
      <c r="D226" s="6" t="s">
        <v>145</v>
      </c>
      <c r="E226" s="17" t="s">
        <v>940</v>
      </c>
      <c r="F226" s="8">
        <f t="shared" si="12"/>
        <v>1</v>
      </c>
      <c r="G226" s="6" t="s">
        <v>941</v>
      </c>
      <c r="H226" s="6"/>
      <c r="I226" s="17" t="s">
        <v>942</v>
      </c>
      <c r="J226" s="17"/>
    </row>
    <row r="227">
      <c r="A227" s="34"/>
      <c r="B227" s="34" t="s">
        <v>925</v>
      </c>
      <c r="C227" s="6" t="s">
        <v>943</v>
      </c>
      <c r="D227" s="6" t="s">
        <v>944</v>
      </c>
      <c r="E227" s="17" t="s">
        <v>945</v>
      </c>
      <c r="F227" s="8">
        <f t="shared" si="12"/>
        <v>1</v>
      </c>
      <c r="G227" s="6" t="s">
        <v>946</v>
      </c>
      <c r="H227" s="6"/>
      <c r="I227" s="17" t="s">
        <v>947</v>
      </c>
      <c r="J227" s="17"/>
    </row>
    <row r="228">
      <c r="A228" s="34"/>
      <c r="B228" s="34" t="s">
        <v>925</v>
      </c>
      <c r="C228" s="6" t="s">
        <v>948</v>
      </c>
      <c r="D228" s="6" t="s">
        <v>944</v>
      </c>
      <c r="E228" s="17" t="s">
        <v>949</v>
      </c>
      <c r="F228" s="8">
        <f t="shared" si="12"/>
        <v>1</v>
      </c>
      <c r="G228" s="6" t="s">
        <v>950</v>
      </c>
      <c r="H228" s="6"/>
      <c r="I228" s="17" t="s">
        <v>951</v>
      </c>
      <c r="J228" s="17"/>
    </row>
    <row r="229">
      <c r="A229" s="34"/>
      <c r="B229" s="34" t="s">
        <v>925</v>
      </c>
      <c r="C229" s="6" t="s">
        <v>952</v>
      </c>
      <c r="D229" s="6" t="s">
        <v>944</v>
      </c>
      <c r="E229" s="17" t="s">
        <v>953</v>
      </c>
      <c r="F229" s="8">
        <f t="shared" si="12"/>
        <v>1</v>
      </c>
      <c r="G229" s="6" t="s">
        <v>954</v>
      </c>
      <c r="H229" s="6"/>
      <c r="I229" s="17" t="s">
        <v>955</v>
      </c>
      <c r="J229" s="17"/>
    </row>
    <row r="230">
      <c r="A230" s="34"/>
      <c r="B230" s="34" t="s">
        <v>925</v>
      </c>
      <c r="C230" s="6" t="s">
        <v>956</v>
      </c>
      <c r="D230" s="6" t="s">
        <v>40</v>
      </c>
      <c r="E230" s="16" t="s">
        <v>957</v>
      </c>
      <c r="F230" s="8">
        <f t="shared" si="12"/>
        <v>2</v>
      </c>
      <c r="G230" s="6" t="s">
        <v>958</v>
      </c>
      <c r="H230" s="6"/>
      <c r="I230" s="24" t="s">
        <v>959</v>
      </c>
      <c r="J230" s="17" t="s">
        <v>960</v>
      </c>
    </row>
    <row r="231">
      <c r="A231" s="34"/>
      <c r="B231" s="34" t="s">
        <v>925</v>
      </c>
      <c r="C231" s="6" t="s">
        <v>961</v>
      </c>
      <c r="D231" s="6" t="s">
        <v>436</v>
      </c>
      <c r="E231" s="16" t="s">
        <v>962</v>
      </c>
      <c r="F231" s="8">
        <f t="shared" si="12"/>
        <v>2</v>
      </c>
      <c r="G231" s="6" t="s">
        <v>963</v>
      </c>
      <c r="H231" s="6"/>
      <c r="I231" s="24" t="s">
        <v>964</v>
      </c>
      <c r="J231" s="17" t="s">
        <v>965</v>
      </c>
    </row>
    <row r="232">
      <c r="A232" s="34"/>
      <c r="B232" s="34" t="s">
        <v>925</v>
      </c>
      <c r="C232" s="6" t="s">
        <v>966</v>
      </c>
      <c r="D232" s="6" t="s">
        <v>436</v>
      </c>
      <c r="E232" s="16" t="s">
        <v>967</v>
      </c>
      <c r="F232" s="8">
        <f t="shared" si="12"/>
        <v>2</v>
      </c>
      <c r="G232" s="6" t="s">
        <v>968</v>
      </c>
      <c r="H232" s="6"/>
      <c r="I232" s="24" t="s">
        <v>969</v>
      </c>
      <c r="J232" s="17" t="s">
        <v>970</v>
      </c>
    </row>
    <row r="233">
      <c r="A233" s="34"/>
      <c r="B233" s="34" t="s">
        <v>925</v>
      </c>
      <c r="C233" s="6" t="s">
        <v>971</v>
      </c>
      <c r="D233" s="6" t="s">
        <v>436</v>
      </c>
      <c r="E233" s="16" t="s">
        <v>972</v>
      </c>
      <c r="F233" s="8">
        <f t="shared" si="12"/>
        <v>2</v>
      </c>
      <c r="G233" s="6" t="s">
        <v>973</v>
      </c>
      <c r="H233" s="6"/>
      <c r="I233" s="24" t="s">
        <v>974</v>
      </c>
      <c r="J233" s="17" t="s">
        <v>975</v>
      </c>
    </row>
    <row r="234">
      <c r="A234" s="33"/>
      <c r="B234" s="33"/>
      <c r="C234" s="39"/>
      <c r="D234" s="39"/>
      <c r="E234" s="13"/>
      <c r="F234" s="14"/>
      <c r="G234" s="12"/>
      <c r="H234" s="39"/>
      <c r="I234" s="15"/>
      <c r="J234" s="15"/>
    </row>
    <row r="235">
      <c r="A235" s="4" t="s">
        <v>10</v>
      </c>
      <c r="B235" s="41" t="s">
        <v>976</v>
      </c>
      <c r="C235" s="42" t="s">
        <v>977</v>
      </c>
      <c r="D235" s="41" t="s">
        <v>26</v>
      </c>
      <c r="E235" s="36" t="s">
        <v>978</v>
      </c>
      <c r="F235" s="8">
        <f t="shared" ref="F235:F254" si="13">counta(I235:J235)</f>
        <v>0</v>
      </c>
      <c r="G235" s="42" t="s">
        <v>979</v>
      </c>
      <c r="H235" s="6" t="s">
        <v>799</v>
      </c>
      <c r="I235" s="23"/>
      <c r="J235" s="37"/>
    </row>
    <row r="236">
      <c r="A236" s="43"/>
      <c r="B236" s="41" t="s">
        <v>976</v>
      </c>
      <c r="C236" s="42" t="s">
        <v>980</v>
      </c>
      <c r="D236" s="41" t="s">
        <v>145</v>
      </c>
      <c r="E236" s="36" t="s">
        <v>981</v>
      </c>
      <c r="F236" s="8">
        <f t="shared" si="13"/>
        <v>0</v>
      </c>
      <c r="G236" s="42" t="s">
        <v>982</v>
      </c>
      <c r="H236" s="43"/>
      <c r="I236" s="23"/>
      <c r="J236" s="37"/>
    </row>
    <row r="237">
      <c r="A237" s="43"/>
      <c r="B237" s="41" t="s">
        <v>976</v>
      </c>
      <c r="C237" s="42" t="s">
        <v>983</v>
      </c>
      <c r="D237" s="41" t="s">
        <v>984</v>
      </c>
      <c r="E237" s="36" t="s">
        <v>985</v>
      </c>
      <c r="F237" s="8">
        <f t="shared" si="13"/>
        <v>0</v>
      </c>
      <c r="G237" s="42" t="s">
        <v>986</v>
      </c>
      <c r="H237" s="43"/>
      <c r="I237" s="23"/>
      <c r="J237" s="37"/>
    </row>
    <row r="238">
      <c r="A238" s="43"/>
      <c r="B238" s="41" t="s">
        <v>976</v>
      </c>
      <c r="C238" s="42" t="s">
        <v>987</v>
      </c>
      <c r="D238" s="41" t="s">
        <v>984</v>
      </c>
      <c r="E238" s="44" t="s">
        <v>988</v>
      </c>
      <c r="F238" s="8">
        <f t="shared" si="13"/>
        <v>0</v>
      </c>
      <c r="G238" s="42" t="s">
        <v>989</v>
      </c>
      <c r="H238" s="43"/>
      <c r="I238" s="43"/>
      <c r="J238" s="43"/>
    </row>
    <row r="239">
      <c r="A239" s="43"/>
      <c r="B239" s="41" t="s">
        <v>976</v>
      </c>
      <c r="C239" s="42" t="s">
        <v>990</v>
      </c>
      <c r="D239" s="41" t="s">
        <v>984</v>
      </c>
      <c r="E239" s="44" t="s">
        <v>991</v>
      </c>
      <c r="F239" s="8">
        <f t="shared" si="13"/>
        <v>0</v>
      </c>
      <c r="G239" s="42" t="s">
        <v>992</v>
      </c>
      <c r="H239" s="43"/>
      <c r="I239" s="43"/>
      <c r="J239" s="43"/>
    </row>
    <row r="240">
      <c r="A240" s="43"/>
      <c r="B240" s="41" t="s">
        <v>976</v>
      </c>
      <c r="C240" s="42" t="s">
        <v>993</v>
      </c>
      <c r="D240" s="41" t="s">
        <v>984</v>
      </c>
      <c r="E240" s="44" t="s">
        <v>994</v>
      </c>
      <c r="F240" s="8">
        <f t="shared" si="13"/>
        <v>0</v>
      </c>
      <c r="G240" s="42" t="s">
        <v>995</v>
      </c>
      <c r="H240" s="43"/>
      <c r="I240" s="43"/>
      <c r="J240" s="43"/>
    </row>
    <row r="241">
      <c r="A241" s="43"/>
      <c r="B241" s="41" t="s">
        <v>976</v>
      </c>
      <c r="C241" s="42" t="s">
        <v>996</v>
      </c>
      <c r="D241" s="41" t="s">
        <v>997</v>
      </c>
      <c r="E241" s="44" t="s">
        <v>998</v>
      </c>
      <c r="F241" s="8">
        <f t="shared" si="13"/>
        <v>0</v>
      </c>
      <c r="G241" s="42" t="s">
        <v>999</v>
      </c>
      <c r="H241" s="43"/>
      <c r="I241" s="43"/>
      <c r="J241" s="48"/>
    </row>
    <row r="242">
      <c r="A242" s="43"/>
      <c r="B242" s="41" t="s">
        <v>976</v>
      </c>
      <c r="C242" s="42" t="s">
        <v>1000</v>
      </c>
      <c r="D242" s="41" t="s">
        <v>997</v>
      </c>
      <c r="E242" s="44" t="s">
        <v>1001</v>
      </c>
      <c r="F242" s="8">
        <f t="shared" si="13"/>
        <v>0</v>
      </c>
      <c r="G242" s="42" t="s">
        <v>1002</v>
      </c>
      <c r="H242" s="43"/>
      <c r="I242" s="43"/>
      <c r="J242" s="43"/>
    </row>
    <row r="243">
      <c r="A243" s="43"/>
      <c r="B243" s="41" t="s">
        <v>976</v>
      </c>
      <c r="C243" s="42" t="s">
        <v>1003</v>
      </c>
      <c r="D243" s="41" t="s">
        <v>997</v>
      </c>
      <c r="E243" s="44" t="s">
        <v>1004</v>
      </c>
      <c r="F243" s="8">
        <f t="shared" si="13"/>
        <v>0</v>
      </c>
      <c r="G243" s="42" t="s">
        <v>1005</v>
      </c>
      <c r="H243" s="43"/>
      <c r="I243" s="43"/>
      <c r="J243" s="43"/>
    </row>
    <row r="244">
      <c r="A244" s="43"/>
      <c r="B244" s="41" t="s">
        <v>976</v>
      </c>
      <c r="C244" s="42" t="s">
        <v>1006</v>
      </c>
      <c r="D244" s="41" t="s">
        <v>997</v>
      </c>
      <c r="E244" s="44" t="s">
        <v>1007</v>
      </c>
      <c r="F244" s="8">
        <f t="shared" si="13"/>
        <v>0</v>
      </c>
      <c r="G244" s="42" t="s">
        <v>1008</v>
      </c>
      <c r="H244" s="43"/>
      <c r="I244" s="43"/>
      <c r="J244" s="43"/>
    </row>
    <row r="245">
      <c r="A245" s="43"/>
      <c r="B245" s="41" t="s">
        <v>976</v>
      </c>
      <c r="C245" s="42" t="s">
        <v>1009</v>
      </c>
      <c r="D245" s="41" t="s">
        <v>1010</v>
      </c>
      <c r="E245" s="44" t="s">
        <v>1011</v>
      </c>
      <c r="F245" s="8">
        <f t="shared" si="13"/>
        <v>0</v>
      </c>
      <c r="G245" s="42" t="s">
        <v>1012</v>
      </c>
      <c r="H245" s="43"/>
      <c r="I245" s="43"/>
      <c r="J245" s="48"/>
    </row>
    <row r="246">
      <c r="A246" s="43"/>
      <c r="B246" s="41" t="s">
        <v>976</v>
      </c>
      <c r="C246" s="42" t="s">
        <v>1013</v>
      </c>
      <c r="D246" s="41" t="s">
        <v>1010</v>
      </c>
      <c r="E246" s="44" t="s">
        <v>1014</v>
      </c>
      <c r="F246" s="8">
        <f t="shared" si="13"/>
        <v>0</v>
      </c>
      <c r="G246" s="42" t="s">
        <v>1015</v>
      </c>
      <c r="H246" s="43"/>
      <c r="I246" s="43"/>
      <c r="J246" s="43"/>
    </row>
    <row r="247">
      <c r="A247" s="43"/>
      <c r="B247" s="41" t="s">
        <v>976</v>
      </c>
      <c r="C247" s="42" t="s">
        <v>1016</v>
      </c>
      <c r="D247" s="41" t="s">
        <v>1010</v>
      </c>
      <c r="E247" s="44" t="s">
        <v>1017</v>
      </c>
      <c r="F247" s="8">
        <f t="shared" si="13"/>
        <v>0</v>
      </c>
      <c r="G247" s="42" t="s">
        <v>1018</v>
      </c>
      <c r="H247" s="43"/>
      <c r="I247" s="43"/>
      <c r="J247" s="43"/>
    </row>
    <row r="248">
      <c r="A248" s="43"/>
      <c r="B248" s="41" t="s">
        <v>976</v>
      </c>
      <c r="C248" s="42" t="s">
        <v>1019</v>
      </c>
      <c r="D248" s="41" t="s">
        <v>1010</v>
      </c>
      <c r="E248" s="44" t="s">
        <v>1020</v>
      </c>
      <c r="F248" s="8">
        <f t="shared" si="13"/>
        <v>0</v>
      </c>
      <c r="G248" s="42" t="s">
        <v>1021</v>
      </c>
      <c r="H248" s="43"/>
      <c r="I248" s="43"/>
      <c r="J248" s="43"/>
    </row>
    <row r="249">
      <c r="A249" s="43"/>
      <c r="B249" s="41" t="s">
        <v>976</v>
      </c>
      <c r="C249" s="42" t="s">
        <v>1022</v>
      </c>
      <c r="D249" s="41" t="s">
        <v>1023</v>
      </c>
      <c r="E249" s="43"/>
      <c r="F249" s="8">
        <f t="shared" si="13"/>
        <v>0</v>
      </c>
      <c r="G249" s="42" t="s">
        <v>1024</v>
      </c>
      <c r="H249" s="43"/>
      <c r="I249" s="43"/>
      <c r="J249" s="43"/>
    </row>
    <row r="250">
      <c r="A250" s="43"/>
      <c r="B250" s="41" t="s">
        <v>976</v>
      </c>
      <c r="C250" s="42" t="s">
        <v>1025</v>
      </c>
      <c r="D250" s="41" t="s">
        <v>1023</v>
      </c>
      <c r="E250" s="44" t="s">
        <v>1026</v>
      </c>
      <c r="F250" s="8">
        <f t="shared" si="13"/>
        <v>0</v>
      </c>
      <c r="G250" s="42" t="s">
        <v>1027</v>
      </c>
      <c r="H250" s="43"/>
      <c r="I250" s="43"/>
      <c r="J250" s="43"/>
    </row>
    <row r="251">
      <c r="A251" s="43"/>
      <c r="B251" s="41" t="s">
        <v>976</v>
      </c>
      <c r="C251" s="42" t="s">
        <v>1028</v>
      </c>
      <c r="D251" s="41" t="s">
        <v>1023</v>
      </c>
      <c r="E251" s="44" t="s">
        <v>1029</v>
      </c>
      <c r="F251" s="8">
        <f t="shared" si="13"/>
        <v>0</v>
      </c>
      <c r="G251" s="42" t="s">
        <v>1030</v>
      </c>
      <c r="H251" s="43"/>
      <c r="I251" s="43"/>
      <c r="J251" s="43"/>
    </row>
    <row r="252">
      <c r="A252" s="43"/>
      <c r="B252" s="41" t="s">
        <v>976</v>
      </c>
      <c r="C252" s="42" t="s">
        <v>1031</v>
      </c>
      <c r="D252" s="41" t="s">
        <v>1023</v>
      </c>
      <c r="E252" s="44" t="s">
        <v>1032</v>
      </c>
      <c r="F252" s="8">
        <f t="shared" si="13"/>
        <v>0</v>
      </c>
      <c r="G252" s="42" t="s">
        <v>1033</v>
      </c>
      <c r="H252" s="43"/>
      <c r="I252" s="43"/>
      <c r="J252" s="43"/>
    </row>
    <row r="253">
      <c r="A253" s="43"/>
      <c r="B253" s="41" t="s">
        <v>976</v>
      </c>
      <c r="C253" s="42" t="s">
        <v>1034</v>
      </c>
      <c r="D253" s="41" t="s">
        <v>483</v>
      </c>
      <c r="E253" s="43" t="s">
        <v>1035</v>
      </c>
      <c r="F253" s="8">
        <f t="shared" si="13"/>
        <v>0</v>
      </c>
      <c r="G253" s="42" t="s">
        <v>1036</v>
      </c>
      <c r="H253" s="43"/>
      <c r="I253" s="43"/>
      <c r="J253" s="43"/>
    </row>
    <row r="254">
      <c r="A254" s="43"/>
      <c r="B254" s="41" t="s">
        <v>976</v>
      </c>
      <c r="C254" s="42" t="s">
        <v>1037</v>
      </c>
      <c r="D254" s="41" t="s">
        <v>483</v>
      </c>
      <c r="E254" s="43" t="s">
        <v>1038</v>
      </c>
      <c r="F254" s="8">
        <f t="shared" si="13"/>
        <v>0</v>
      </c>
      <c r="G254" s="42" t="s">
        <v>1039</v>
      </c>
      <c r="H254" s="43"/>
      <c r="I254" s="43"/>
      <c r="J254" s="43"/>
    </row>
    <row r="255">
      <c r="A255" s="33"/>
      <c r="B255" s="33"/>
      <c r="C255" s="12"/>
      <c r="D255" s="12"/>
      <c r="E255" s="15"/>
      <c r="F255" s="14"/>
      <c r="G255" s="12"/>
      <c r="H255" s="12"/>
      <c r="I255" s="15"/>
      <c r="J255" s="15"/>
    </row>
    <row r="256">
      <c r="A256" s="4" t="s">
        <v>10</v>
      </c>
      <c r="B256" s="41" t="s">
        <v>1040</v>
      </c>
      <c r="C256" s="42" t="s">
        <v>1041</v>
      </c>
      <c r="D256" s="41" t="s">
        <v>40</v>
      </c>
      <c r="E256" s="43" t="s">
        <v>1042</v>
      </c>
      <c r="F256" s="8">
        <f t="shared" ref="F256:F291" si="14">counta(I256:J256)</f>
        <v>0</v>
      </c>
      <c r="G256" s="42" t="s">
        <v>1043</v>
      </c>
      <c r="H256" s="6" t="s">
        <v>773</v>
      </c>
      <c r="I256" s="43"/>
      <c r="J256" s="43"/>
    </row>
    <row r="257">
      <c r="A257" s="43"/>
      <c r="B257" s="41" t="s">
        <v>1040</v>
      </c>
      <c r="C257" s="42" t="s">
        <v>1044</v>
      </c>
      <c r="D257" s="41" t="s">
        <v>26</v>
      </c>
      <c r="E257" s="43" t="s">
        <v>1045</v>
      </c>
      <c r="F257" s="8">
        <f t="shared" si="14"/>
        <v>0</v>
      </c>
      <c r="G257" s="42" t="s">
        <v>1046</v>
      </c>
      <c r="H257" s="43"/>
      <c r="I257" s="43"/>
      <c r="J257" s="43"/>
    </row>
    <row r="258">
      <c r="A258" s="43"/>
      <c r="B258" s="41" t="s">
        <v>1040</v>
      </c>
      <c r="C258" s="42" t="s">
        <v>1047</v>
      </c>
      <c r="D258" s="41" t="s">
        <v>145</v>
      </c>
      <c r="E258" s="43" t="s">
        <v>1048</v>
      </c>
      <c r="F258" s="8">
        <f t="shared" si="14"/>
        <v>0</v>
      </c>
      <c r="G258" s="42" t="s">
        <v>1049</v>
      </c>
      <c r="H258" s="43"/>
      <c r="I258" s="43"/>
      <c r="J258" s="43"/>
    </row>
    <row r="259">
      <c r="A259" s="43"/>
      <c r="B259" s="41" t="s">
        <v>1040</v>
      </c>
      <c r="C259" s="42" t="s">
        <v>1050</v>
      </c>
      <c r="D259" s="41" t="s">
        <v>1051</v>
      </c>
      <c r="E259" s="43" t="s">
        <v>1052</v>
      </c>
      <c r="F259" s="8">
        <f t="shared" si="14"/>
        <v>0</v>
      </c>
      <c r="G259" s="42" t="s">
        <v>1053</v>
      </c>
      <c r="H259" s="43"/>
      <c r="I259" s="43"/>
      <c r="J259" s="43"/>
    </row>
    <row r="260">
      <c r="A260" s="43"/>
      <c r="B260" s="41" t="s">
        <v>1040</v>
      </c>
      <c r="C260" s="42" t="s">
        <v>1054</v>
      </c>
      <c r="D260" s="41" t="s">
        <v>1051</v>
      </c>
      <c r="E260" s="43" t="s">
        <v>1055</v>
      </c>
      <c r="F260" s="8">
        <f t="shared" si="14"/>
        <v>0</v>
      </c>
      <c r="G260" s="42" t="s">
        <v>1056</v>
      </c>
      <c r="H260" s="43"/>
      <c r="I260" s="43"/>
      <c r="J260" s="43"/>
    </row>
    <row r="261">
      <c r="A261" s="43"/>
      <c r="B261" s="41" t="s">
        <v>1040</v>
      </c>
      <c r="C261" s="42" t="s">
        <v>1057</v>
      </c>
      <c r="D261" s="41" t="s">
        <v>1051</v>
      </c>
      <c r="E261" s="43" t="s">
        <v>1058</v>
      </c>
      <c r="F261" s="8">
        <f t="shared" si="14"/>
        <v>0</v>
      </c>
      <c r="G261" s="42" t="s">
        <v>1059</v>
      </c>
      <c r="H261" s="43"/>
      <c r="I261" s="43"/>
      <c r="J261" s="43"/>
    </row>
    <row r="262">
      <c r="A262" s="43"/>
      <c r="B262" s="41" t="s">
        <v>1040</v>
      </c>
      <c r="C262" s="42" t="s">
        <v>1060</v>
      </c>
      <c r="D262" s="41" t="s">
        <v>1051</v>
      </c>
      <c r="E262" s="43" t="s">
        <v>1061</v>
      </c>
      <c r="F262" s="8">
        <f t="shared" si="14"/>
        <v>0</v>
      </c>
      <c r="G262" s="42" t="s">
        <v>1062</v>
      </c>
      <c r="H262" s="43"/>
      <c r="I262" s="43"/>
      <c r="J262" s="43"/>
    </row>
    <row r="263">
      <c r="A263" s="43"/>
      <c r="B263" s="41" t="s">
        <v>1040</v>
      </c>
      <c r="C263" s="42" t="s">
        <v>1063</v>
      </c>
      <c r="D263" s="41" t="s">
        <v>1051</v>
      </c>
      <c r="E263" s="43" t="s">
        <v>1064</v>
      </c>
      <c r="F263" s="8">
        <f t="shared" si="14"/>
        <v>0</v>
      </c>
      <c r="G263" s="42" t="s">
        <v>1065</v>
      </c>
      <c r="H263" s="43"/>
      <c r="I263" s="43"/>
      <c r="J263" s="43"/>
    </row>
    <row r="264">
      <c r="A264" s="43"/>
      <c r="B264" s="41" t="s">
        <v>1040</v>
      </c>
      <c r="C264" s="42" t="s">
        <v>1066</v>
      </c>
      <c r="D264" s="41" t="s">
        <v>1051</v>
      </c>
      <c r="E264" s="43" t="s">
        <v>1067</v>
      </c>
      <c r="F264" s="8">
        <f t="shared" si="14"/>
        <v>0</v>
      </c>
      <c r="G264" s="42" t="s">
        <v>1068</v>
      </c>
      <c r="H264" s="43"/>
      <c r="I264" s="43"/>
      <c r="J264" s="43"/>
    </row>
    <row r="265">
      <c r="A265" s="43"/>
      <c r="B265" s="41" t="s">
        <v>1040</v>
      </c>
      <c r="C265" s="42" t="s">
        <v>1069</v>
      </c>
      <c r="D265" s="41" t="s">
        <v>1051</v>
      </c>
      <c r="E265" s="43" t="s">
        <v>1070</v>
      </c>
      <c r="F265" s="8">
        <f t="shared" si="14"/>
        <v>0</v>
      </c>
      <c r="G265" s="42" t="s">
        <v>1071</v>
      </c>
      <c r="H265" s="43"/>
      <c r="I265" s="43"/>
      <c r="J265" s="43"/>
    </row>
    <row r="266">
      <c r="A266" s="43"/>
      <c r="B266" s="41" t="s">
        <v>1040</v>
      </c>
      <c r="C266" s="42" t="s">
        <v>1072</v>
      </c>
      <c r="D266" s="41" t="s">
        <v>1051</v>
      </c>
      <c r="E266" s="43" t="s">
        <v>1073</v>
      </c>
      <c r="F266" s="8">
        <f t="shared" si="14"/>
        <v>0</v>
      </c>
      <c r="G266" s="42" t="s">
        <v>1074</v>
      </c>
      <c r="H266" s="43"/>
      <c r="I266" s="43"/>
      <c r="J266" s="43"/>
    </row>
    <row r="267">
      <c r="A267" s="43"/>
      <c r="B267" s="41" t="s">
        <v>1040</v>
      </c>
      <c r="C267" s="42" t="s">
        <v>1075</v>
      </c>
      <c r="D267" s="41" t="s">
        <v>16</v>
      </c>
      <c r="E267" s="43" t="s">
        <v>1076</v>
      </c>
      <c r="F267" s="8">
        <f t="shared" si="14"/>
        <v>0</v>
      </c>
      <c r="G267" s="42" t="s">
        <v>1077</v>
      </c>
      <c r="H267" s="43"/>
      <c r="I267" s="43"/>
      <c r="J267" s="43"/>
    </row>
    <row r="268">
      <c r="A268" s="43"/>
      <c r="B268" s="41" t="s">
        <v>1040</v>
      </c>
      <c r="C268" s="42" t="s">
        <v>1078</v>
      </c>
      <c r="D268" s="41" t="s">
        <v>40</v>
      </c>
      <c r="E268" s="43" t="s">
        <v>1079</v>
      </c>
      <c r="F268" s="8">
        <f t="shared" si="14"/>
        <v>0</v>
      </c>
      <c r="G268" s="42" t="s">
        <v>1080</v>
      </c>
      <c r="H268" s="43"/>
      <c r="I268" s="43"/>
      <c r="J268" s="43"/>
    </row>
    <row r="269">
      <c r="A269" s="43"/>
      <c r="B269" s="41" t="s">
        <v>1040</v>
      </c>
      <c r="C269" s="42" t="s">
        <v>1081</v>
      </c>
      <c r="D269" s="41" t="s">
        <v>26</v>
      </c>
      <c r="E269" s="43" t="s">
        <v>1082</v>
      </c>
      <c r="F269" s="8">
        <f t="shared" si="14"/>
        <v>0</v>
      </c>
      <c r="G269" s="42" t="s">
        <v>1083</v>
      </c>
      <c r="H269" s="43"/>
      <c r="I269" s="43"/>
      <c r="J269" s="43"/>
    </row>
    <row r="270">
      <c r="A270" s="43"/>
      <c r="B270" s="41" t="s">
        <v>1040</v>
      </c>
      <c r="C270" s="42" t="s">
        <v>1084</v>
      </c>
      <c r="D270" s="41" t="s">
        <v>145</v>
      </c>
      <c r="E270" s="43" t="s">
        <v>1085</v>
      </c>
      <c r="F270" s="8">
        <f t="shared" si="14"/>
        <v>0</v>
      </c>
      <c r="G270" s="42" t="s">
        <v>1086</v>
      </c>
      <c r="H270" s="43"/>
      <c r="I270" s="43"/>
      <c r="J270" s="43"/>
    </row>
    <row r="271">
      <c r="A271" s="43"/>
      <c r="B271" s="41" t="s">
        <v>1040</v>
      </c>
      <c r="C271" s="42" t="s">
        <v>1087</v>
      </c>
      <c r="D271" s="41" t="s">
        <v>1051</v>
      </c>
      <c r="E271" s="43" t="s">
        <v>1088</v>
      </c>
      <c r="F271" s="8">
        <f t="shared" si="14"/>
        <v>0</v>
      </c>
      <c r="G271" s="42" t="s">
        <v>1089</v>
      </c>
      <c r="H271" s="43"/>
      <c r="I271" s="43"/>
      <c r="J271" s="43"/>
    </row>
    <row r="272">
      <c r="A272" s="43"/>
      <c r="B272" s="41" t="s">
        <v>1040</v>
      </c>
      <c r="C272" s="42" t="s">
        <v>1090</v>
      </c>
      <c r="D272" s="41" t="s">
        <v>1051</v>
      </c>
      <c r="E272" s="43" t="s">
        <v>1091</v>
      </c>
      <c r="F272" s="8">
        <f t="shared" si="14"/>
        <v>0</v>
      </c>
      <c r="G272" s="42" t="s">
        <v>1092</v>
      </c>
      <c r="H272" s="43"/>
      <c r="I272" s="43"/>
      <c r="J272" s="43"/>
    </row>
    <row r="273">
      <c r="A273" s="43"/>
      <c r="B273" s="41" t="s">
        <v>1040</v>
      </c>
      <c r="C273" s="42" t="s">
        <v>1093</v>
      </c>
      <c r="D273" s="41" t="s">
        <v>1051</v>
      </c>
      <c r="E273" s="43" t="s">
        <v>1094</v>
      </c>
      <c r="F273" s="8">
        <f t="shared" si="14"/>
        <v>0</v>
      </c>
      <c r="G273" s="42" t="s">
        <v>1095</v>
      </c>
      <c r="H273" s="43"/>
      <c r="I273" s="43"/>
      <c r="J273" s="43"/>
    </row>
    <row r="274">
      <c r="A274" s="43"/>
      <c r="B274" s="41" t="s">
        <v>1040</v>
      </c>
      <c r="C274" s="42" t="s">
        <v>1096</v>
      </c>
      <c r="D274" s="41" t="s">
        <v>1051</v>
      </c>
      <c r="E274" s="43" t="s">
        <v>1097</v>
      </c>
      <c r="F274" s="8">
        <f t="shared" si="14"/>
        <v>0</v>
      </c>
      <c r="G274" s="42" t="s">
        <v>1098</v>
      </c>
      <c r="H274" s="43"/>
      <c r="I274" s="43"/>
      <c r="J274" s="43"/>
    </row>
    <row r="275">
      <c r="A275" s="43"/>
      <c r="B275" s="41" t="s">
        <v>1040</v>
      </c>
      <c r="C275" s="42" t="s">
        <v>1099</v>
      </c>
      <c r="D275" s="41" t="s">
        <v>1051</v>
      </c>
      <c r="E275" s="43" t="s">
        <v>1100</v>
      </c>
      <c r="F275" s="8">
        <f t="shared" si="14"/>
        <v>0</v>
      </c>
      <c r="G275" s="42" t="s">
        <v>1101</v>
      </c>
      <c r="H275" s="43"/>
      <c r="I275" s="43"/>
      <c r="J275" s="43"/>
    </row>
    <row r="276">
      <c r="A276" s="43"/>
      <c r="B276" s="41" t="s">
        <v>1040</v>
      </c>
      <c r="C276" s="42" t="s">
        <v>1102</v>
      </c>
      <c r="D276" s="41" t="s">
        <v>1051</v>
      </c>
      <c r="E276" s="43" t="s">
        <v>1103</v>
      </c>
      <c r="F276" s="8">
        <f t="shared" si="14"/>
        <v>0</v>
      </c>
      <c r="G276" s="42" t="s">
        <v>1104</v>
      </c>
      <c r="H276" s="43"/>
      <c r="I276" s="43"/>
      <c r="J276" s="43"/>
    </row>
    <row r="277">
      <c r="A277" s="43"/>
      <c r="B277" s="41" t="s">
        <v>1040</v>
      </c>
      <c r="C277" s="42" t="s">
        <v>1105</v>
      </c>
      <c r="D277" s="41" t="s">
        <v>1051</v>
      </c>
      <c r="E277" s="43" t="s">
        <v>1106</v>
      </c>
      <c r="F277" s="8">
        <f t="shared" si="14"/>
        <v>0</v>
      </c>
      <c r="G277" s="42" t="s">
        <v>1107</v>
      </c>
      <c r="H277" s="43"/>
      <c r="I277" s="43"/>
      <c r="J277" s="43"/>
    </row>
    <row r="278">
      <c r="A278" s="43"/>
      <c r="B278" s="41" t="s">
        <v>1040</v>
      </c>
      <c r="C278" s="42" t="s">
        <v>1108</v>
      </c>
      <c r="D278" s="41" t="s">
        <v>1051</v>
      </c>
      <c r="E278" s="43" t="s">
        <v>1109</v>
      </c>
      <c r="F278" s="8">
        <f t="shared" si="14"/>
        <v>0</v>
      </c>
      <c r="G278" s="42" t="s">
        <v>1110</v>
      </c>
      <c r="H278" s="43"/>
      <c r="I278" s="43"/>
      <c r="J278" s="43"/>
    </row>
    <row r="279">
      <c r="A279" s="43"/>
      <c r="B279" s="41" t="s">
        <v>1040</v>
      </c>
      <c r="C279" s="42" t="s">
        <v>1111</v>
      </c>
      <c r="D279" s="41" t="s">
        <v>16</v>
      </c>
      <c r="E279" s="43" t="s">
        <v>1112</v>
      </c>
      <c r="F279" s="8">
        <f t="shared" si="14"/>
        <v>0</v>
      </c>
      <c r="G279" s="42" t="s">
        <v>1113</v>
      </c>
      <c r="H279" s="43"/>
      <c r="I279" s="43"/>
      <c r="J279" s="43"/>
    </row>
    <row r="280">
      <c r="A280" s="43"/>
      <c r="B280" s="41" t="s">
        <v>1040</v>
      </c>
      <c r="C280" s="42" t="s">
        <v>1114</v>
      </c>
      <c r="D280" s="41" t="s">
        <v>40</v>
      </c>
      <c r="E280" s="43" t="s">
        <v>1115</v>
      </c>
      <c r="F280" s="8">
        <f t="shared" si="14"/>
        <v>0</v>
      </c>
      <c r="G280" s="42" t="s">
        <v>1116</v>
      </c>
      <c r="H280" s="43"/>
      <c r="I280" s="43"/>
      <c r="J280" s="43"/>
    </row>
    <row r="281">
      <c r="A281" s="43"/>
      <c r="B281" s="41" t="s">
        <v>1040</v>
      </c>
      <c r="C281" s="42" t="s">
        <v>1117</v>
      </c>
      <c r="D281" s="41" t="s">
        <v>26</v>
      </c>
      <c r="E281" s="43" t="s">
        <v>1118</v>
      </c>
      <c r="F281" s="8">
        <f t="shared" si="14"/>
        <v>0</v>
      </c>
      <c r="G281" s="42" t="s">
        <v>1119</v>
      </c>
      <c r="H281" s="43"/>
      <c r="I281" s="43"/>
      <c r="J281" s="43"/>
    </row>
    <row r="282">
      <c r="A282" s="43"/>
      <c r="B282" s="41" t="s">
        <v>1040</v>
      </c>
      <c r="C282" s="42" t="s">
        <v>1120</v>
      </c>
      <c r="D282" s="41" t="s">
        <v>145</v>
      </c>
      <c r="E282" s="43" t="s">
        <v>1121</v>
      </c>
      <c r="F282" s="8">
        <f t="shared" si="14"/>
        <v>0</v>
      </c>
      <c r="G282" s="42" t="s">
        <v>1122</v>
      </c>
      <c r="H282" s="43"/>
      <c r="I282" s="43"/>
      <c r="J282" s="43"/>
    </row>
    <row r="283">
      <c r="A283" s="43"/>
      <c r="B283" s="41" t="s">
        <v>1040</v>
      </c>
      <c r="C283" s="42" t="s">
        <v>1123</v>
      </c>
      <c r="D283" s="41" t="s">
        <v>1051</v>
      </c>
      <c r="E283" s="43" t="s">
        <v>1124</v>
      </c>
      <c r="F283" s="8">
        <f t="shared" si="14"/>
        <v>0</v>
      </c>
      <c r="G283" s="42" t="s">
        <v>1125</v>
      </c>
      <c r="H283" s="43"/>
      <c r="I283" s="43"/>
      <c r="J283" s="43"/>
    </row>
    <row r="284">
      <c r="A284" s="43"/>
      <c r="B284" s="41" t="s">
        <v>1040</v>
      </c>
      <c r="C284" s="42" t="s">
        <v>1126</v>
      </c>
      <c r="D284" s="41" t="s">
        <v>1051</v>
      </c>
      <c r="E284" s="43" t="s">
        <v>1127</v>
      </c>
      <c r="F284" s="8">
        <f t="shared" si="14"/>
        <v>0</v>
      </c>
      <c r="G284" s="42" t="s">
        <v>1128</v>
      </c>
      <c r="H284" s="43"/>
      <c r="I284" s="43"/>
      <c r="J284" s="43"/>
    </row>
    <row r="285">
      <c r="A285" s="43"/>
      <c r="B285" s="41" t="s">
        <v>1040</v>
      </c>
      <c r="C285" s="42" t="s">
        <v>1129</v>
      </c>
      <c r="D285" s="41" t="s">
        <v>1051</v>
      </c>
      <c r="E285" s="43" t="s">
        <v>1130</v>
      </c>
      <c r="F285" s="8">
        <f t="shared" si="14"/>
        <v>0</v>
      </c>
      <c r="G285" s="42" t="s">
        <v>1131</v>
      </c>
      <c r="H285" s="43"/>
      <c r="I285" s="43"/>
      <c r="J285" s="43"/>
    </row>
    <row r="286">
      <c r="A286" s="43"/>
      <c r="B286" s="41" t="s">
        <v>1040</v>
      </c>
      <c r="C286" s="42" t="s">
        <v>1132</v>
      </c>
      <c r="D286" s="41" t="s">
        <v>1051</v>
      </c>
      <c r="E286" s="43" t="s">
        <v>1133</v>
      </c>
      <c r="F286" s="8">
        <f t="shared" si="14"/>
        <v>0</v>
      </c>
      <c r="G286" s="42" t="s">
        <v>1134</v>
      </c>
      <c r="H286" s="43"/>
      <c r="I286" s="43"/>
      <c r="J286" s="43"/>
    </row>
    <row r="287">
      <c r="A287" s="43"/>
      <c r="B287" s="41" t="s">
        <v>1040</v>
      </c>
      <c r="C287" s="42" t="s">
        <v>1135</v>
      </c>
      <c r="D287" s="41" t="s">
        <v>1051</v>
      </c>
      <c r="E287" s="43" t="s">
        <v>1136</v>
      </c>
      <c r="F287" s="8">
        <f t="shared" si="14"/>
        <v>0</v>
      </c>
      <c r="G287" s="42" t="s">
        <v>1137</v>
      </c>
      <c r="H287" s="43"/>
      <c r="I287" s="43"/>
      <c r="J287" s="43"/>
    </row>
    <row r="288">
      <c r="A288" s="43"/>
      <c r="B288" s="41" t="s">
        <v>1040</v>
      </c>
      <c r="C288" s="42" t="s">
        <v>1138</v>
      </c>
      <c r="D288" s="41" t="s">
        <v>1051</v>
      </c>
      <c r="E288" s="43" t="s">
        <v>1139</v>
      </c>
      <c r="F288" s="8">
        <f t="shared" si="14"/>
        <v>0</v>
      </c>
      <c r="G288" s="42" t="s">
        <v>1140</v>
      </c>
      <c r="H288" s="43"/>
      <c r="I288" s="43"/>
      <c r="J288" s="43"/>
    </row>
    <row r="289">
      <c r="A289" s="43"/>
      <c r="B289" s="41" t="s">
        <v>1040</v>
      </c>
      <c r="C289" s="42" t="s">
        <v>1141</v>
      </c>
      <c r="D289" s="41" t="s">
        <v>1051</v>
      </c>
      <c r="E289" s="43" t="s">
        <v>1142</v>
      </c>
      <c r="F289" s="8">
        <f t="shared" si="14"/>
        <v>0</v>
      </c>
      <c r="G289" s="42" t="s">
        <v>1143</v>
      </c>
      <c r="H289" s="43"/>
      <c r="I289" s="43"/>
      <c r="J289" s="43"/>
    </row>
    <row r="290">
      <c r="A290" s="43"/>
      <c r="B290" s="41" t="s">
        <v>1040</v>
      </c>
      <c r="C290" s="42" t="s">
        <v>1144</v>
      </c>
      <c r="D290" s="41" t="s">
        <v>1051</v>
      </c>
      <c r="E290" s="43" t="s">
        <v>1145</v>
      </c>
      <c r="F290" s="8">
        <f t="shared" si="14"/>
        <v>0</v>
      </c>
      <c r="G290" s="42" t="s">
        <v>1146</v>
      </c>
      <c r="H290" s="43"/>
      <c r="I290" s="43"/>
      <c r="J290" s="43"/>
    </row>
    <row r="291">
      <c r="A291" s="43"/>
      <c r="B291" s="41" t="s">
        <v>1040</v>
      </c>
      <c r="C291" s="42" t="s">
        <v>1147</v>
      </c>
      <c r="D291" s="41" t="s">
        <v>16</v>
      </c>
      <c r="E291" s="43" t="s">
        <v>1148</v>
      </c>
      <c r="F291" s="8">
        <f t="shared" si="14"/>
        <v>0</v>
      </c>
      <c r="G291" s="42" t="s">
        <v>1149</v>
      </c>
      <c r="H291" s="43"/>
      <c r="I291" s="43"/>
      <c r="J291" s="43"/>
    </row>
    <row r="292">
      <c r="A292" s="11"/>
      <c r="B292" s="11"/>
      <c r="C292" s="49"/>
      <c r="D292" s="12"/>
      <c r="E292" s="15"/>
      <c r="F292" s="14"/>
      <c r="G292" s="12"/>
      <c r="H292" s="49"/>
      <c r="I292" s="15"/>
      <c r="J292" s="15"/>
    </row>
    <row r="293">
      <c r="A293" s="4" t="s">
        <v>10</v>
      </c>
      <c r="B293" s="4" t="s">
        <v>1150</v>
      </c>
      <c r="C293" s="25" t="s">
        <v>1151</v>
      </c>
      <c r="D293" s="6" t="s">
        <v>40</v>
      </c>
      <c r="E293" s="17" t="s">
        <v>1152</v>
      </c>
      <c r="F293" s="8">
        <f t="shared" ref="F293:F308" si="15">counta(I293:J293)</f>
        <v>2</v>
      </c>
      <c r="G293" s="6" t="s">
        <v>1153</v>
      </c>
      <c r="H293" s="25"/>
      <c r="I293" s="17" t="s">
        <v>1154</v>
      </c>
      <c r="J293" s="17" t="s">
        <v>1155</v>
      </c>
    </row>
    <row r="294">
      <c r="A294" s="4"/>
      <c r="B294" s="4" t="s">
        <v>1150</v>
      </c>
      <c r="C294" s="6" t="s">
        <v>1156</v>
      </c>
      <c r="D294" s="6" t="s">
        <v>1157</v>
      </c>
      <c r="E294" s="17" t="s">
        <v>1158</v>
      </c>
      <c r="F294" s="8">
        <f t="shared" si="15"/>
        <v>2</v>
      </c>
      <c r="G294" s="6" t="s">
        <v>1159</v>
      </c>
      <c r="H294" s="6"/>
      <c r="I294" s="17" t="s">
        <v>1160</v>
      </c>
      <c r="J294" s="17" t="s">
        <v>1161</v>
      </c>
    </row>
    <row r="295">
      <c r="A295" s="4"/>
      <c r="B295" s="4" t="s">
        <v>1150</v>
      </c>
      <c r="C295" s="6" t="s">
        <v>1162</v>
      </c>
      <c r="D295" s="6" t="s">
        <v>40</v>
      </c>
      <c r="E295" s="17" t="s">
        <v>1163</v>
      </c>
      <c r="F295" s="8">
        <f t="shared" si="15"/>
        <v>2</v>
      </c>
      <c r="G295" s="6" t="s">
        <v>1164</v>
      </c>
      <c r="H295" s="6"/>
      <c r="I295" s="17" t="s">
        <v>1165</v>
      </c>
      <c r="J295" s="17" t="s">
        <v>1166</v>
      </c>
    </row>
    <row r="296">
      <c r="A296" s="4"/>
      <c r="B296" s="4" t="s">
        <v>1150</v>
      </c>
      <c r="C296" s="6" t="s">
        <v>1167</v>
      </c>
      <c r="D296" s="6" t="s">
        <v>1168</v>
      </c>
      <c r="E296" s="17" t="s">
        <v>1169</v>
      </c>
      <c r="F296" s="8">
        <f t="shared" si="15"/>
        <v>2</v>
      </c>
      <c r="G296" s="6" t="s">
        <v>1170</v>
      </c>
      <c r="H296" s="6"/>
      <c r="I296" s="17" t="s">
        <v>1171</v>
      </c>
      <c r="J296" s="17" t="s">
        <v>1172</v>
      </c>
    </row>
    <row r="297">
      <c r="A297" s="4"/>
      <c r="B297" s="4" t="s">
        <v>1150</v>
      </c>
      <c r="C297" s="6" t="s">
        <v>1173</v>
      </c>
      <c r="D297" s="6" t="s">
        <v>1174</v>
      </c>
      <c r="E297" s="17" t="s">
        <v>1175</v>
      </c>
      <c r="F297" s="8">
        <f t="shared" si="15"/>
        <v>2</v>
      </c>
      <c r="G297" s="6" t="s">
        <v>1176</v>
      </c>
      <c r="H297" s="6"/>
      <c r="I297" s="17" t="s">
        <v>1177</v>
      </c>
      <c r="J297" s="17" t="s">
        <v>1178</v>
      </c>
    </row>
    <row r="298">
      <c r="A298" s="4"/>
      <c r="B298" s="4" t="s">
        <v>1150</v>
      </c>
      <c r="C298" s="6" t="s">
        <v>1179</v>
      </c>
      <c r="D298" s="6" t="s">
        <v>1180</v>
      </c>
      <c r="E298" s="17" t="s">
        <v>1181</v>
      </c>
      <c r="F298" s="8">
        <f t="shared" si="15"/>
        <v>2</v>
      </c>
      <c r="G298" s="6" t="s">
        <v>1182</v>
      </c>
      <c r="H298" s="6"/>
      <c r="I298" s="17" t="s">
        <v>1183</v>
      </c>
      <c r="J298" s="17" t="s">
        <v>1184</v>
      </c>
    </row>
    <row r="299">
      <c r="A299" s="4"/>
      <c r="B299" s="4" t="s">
        <v>1150</v>
      </c>
      <c r="C299" s="9" t="s">
        <v>1185</v>
      </c>
      <c r="D299" s="6" t="s">
        <v>1186</v>
      </c>
      <c r="E299" s="16" t="s">
        <v>1187</v>
      </c>
      <c r="F299" s="8">
        <f t="shared" si="15"/>
        <v>2</v>
      </c>
      <c r="G299" s="6" t="s">
        <v>1188</v>
      </c>
      <c r="H299" s="9"/>
      <c r="I299" s="17" t="s">
        <v>1189</v>
      </c>
      <c r="J299" s="17" t="s">
        <v>1190</v>
      </c>
    </row>
    <row r="300">
      <c r="A300" s="4"/>
      <c r="B300" s="4" t="s">
        <v>1150</v>
      </c>
      <c r="C300" s="6" t="s">
        <v>1191</v>
      </c>
      <c r="D300" s="6" t="s">
        <v>1192</v>
      </c>
      <c r="E300" s="17" t="s">
        <v>1193</v>
      </c>
      <c r="F300" s="8">
        <f t="shared" si="15"/>
        <v>2</v>
      </c>
      <c r="G300" s="6" t="s">
        <v>1194</v>
      </c>
      <c r="H300" s="6"/>
      <c r="I300" s="17" t="s">
        <v>1195</v>
      </c>
      <c r="J300" s="17" t="s">
        <v>1196</v>
      </c>
    </row>
    <row r="301">
      <c r="A301" s="4"/>
      <c r="B301" s="4" t="s">
        <v>1150</v>
      </c>
      <c r="C301" s="6" t="s">
        <v>1197</v>
      </c>
      <c r="D301" s="6" t="s">
        <v>1198</v>
      </c>
      <c r="E301" s="17" t="s">
        <v>1199</v>
      </c>
      <c r="F301" s="8">
        <f t="shared" si="15"/>
        <v>2</v>
      </c>
      <c r="G301" s="6" t="s">
        <v>1200</v>
      </c>
      <c r="H301" s="6"/>
      <c r="I301" s="17" t="s">
        <v>1201</v>
      </c>
      <c r="J301" s="17" t="s">
        <v>1202</v>
      </c>
    </row>
    <row r="302">
      <c r="A302" s="4"/>
      <c r="B302" s="4" t="s">
        <v>1150</v>
      </c>
      <c r="C302" s="6" t="s">
        <v>1203</v>
      </c>
      <c r="D302" s="6" t="s">
        <v>1204</v>
      </c>
      <c r="E302" s="17" t="s">
        <v>1205</v>
      </c>
      <c r="F302" s="8">
        <f t="shared" si="15"/>
        <v>2</v>
      </c>
      <c r="G302" s="6" t="s">
        <v>1206</v>
      </c>
      <c r="H302" s="6"/>
      <c r="I302" s="17" t="s">
        <v>1207</v>
      </c>
      <c r="J302" s="17" t="s">
        <v>1208</v>
      </c>
    </row>
    <row r="303">
      <c r="A303" s="4"/>
      <c r="B303" s="4" t="s">
        <v>1150</v>
      </c>
      <c r="C303" s="6" t="s">
        <v>1209</v>
      </c>
      <c r="D303" s="6" t="s">
        <v>1210</v>
      </c>
      <c r="E303" s="17" t="s">
        <v>1211</v>
      </c>
      <c r="F303" s="8">
        <f t="shared" si="15"/>
        <v>2</v>
      </c>
      <c r="G303" s="6" t="s">
        <v>1212</v>
      </c>
      <c r="H303" s="6"/>
      <c r="I303" s="17" t="s">
        <v>1213</v>
      </c>
      <c r="J303" s="17" t="s">
        <v>1214</v>
      </c>
    </row>
    <row r="304">
      <c r="A304" s="4"/>
      <c r="B304" s="4" t="s">
        <v>1150</v>
      </c>
      <c r="C304" s="6" t="s">
        <v>1215</v>
      </c>
      <c r="D304" s="6" t="s">
        <v>1216</v>
      </c>
      <c r="E304" s="17" t="s">
        <v>1217</v>
      </c>
      <c r="F304" s="8">
        <f t="shared" si="15"/>
        <v>2</v>
      </c>
      <c r="G304" s="6" t="s">
        <v>1218</v>
      </c>
      <c r="H304" s="6"/>
      <c r="I304" s="17" t="s">
        <v>1219</v>
      </c>
      <c r="J304" s="17" t="s">
        <v>1220</v>
      </c>
    </row>
    <row r="305">
      <c r="A305" s="4"/>
      <c r="B305" s="4" t="s">
        <v>1150</v>
      </c>
      <c r="C305" s="6" t="s">
        <v>1221</v>
      </c>
      <c r="D305" s="6" t="s">
        <v>26</v>
      </c>
      <c r="E305" s="16" t="s">
        <v>1222</v>
      </c>
      <c r="F305" s="8">
        <f t="shared" si="15"/>
        <v>2</v>
      </c>
      <c r="G305" s="6" t="s">
        <v>1223</v>
      </c>
      <c r="H305" s="6"/>
      <c r="I305" s="17" t="s">
        <v>1224</v>
      </c>
      <c r="J305" s="17" t="s">
        <v>1225</v>
      </c>
    </row>
    <row r="306">
      <c r="A306" s="4"/>
      <c r="B306" s="4" t="s">
        <v>1150</v>
      </c>
      <c r="C306" s="6" t="s">
        <v>1226</v>
      </c>
      <c r="D306" s="6" t="s">
        <v>145</v>
      </c>
      <c r="E306" s="16" t="s">
        <v>1227</v>
      </c>
      <c r="F306" s="8">
        <f t="shared" si="15"/>
        <v>2</v>
      </c>
      <c r="G306" s="6" t="s">
        <v>1228</v>
      </c>
      <c r="H306" s="6"/>
      <c r="I306" s="17" t="s">
        <v>1229</v>
      </c>
      <c r="J306" s="17" t="s">
        <v>1230</v>
      </c>
    </row>
    <row r="307">
      <c r="A307" s="4"/>
      <c r="B307" s="4" t="s">
        <v>1150</v>
      </c>
      <c r="C307" s="6" t="s">
        <v>1231</v>
      </c>
      <c r="D307" s="6" t="s">
        <v>40</v>
      </c>
      <c r="E307" s="17" t="s">
        <v>1232</v>
      </c>
      <c r="F307" s="8">
        <f t="shared" si="15"/>
        <v>2</v>
      </c>
      <c r="G307" s="6" t="s">
        <v>1233</v>
      </c>
      <c r="H307" s="6"/>
      <c r="I307" s="17" t="s">
        <v>1234</v>
      </c>
      <c r="J307" s="17" t="s">
        <v>1235</v>
      </c>
    </row>
    <row r="308">
      <c r="A308" s="4"/>
      <c r="B308" s="4" t="s">
        <v>1150</v>
      </c>
      <c r="C308" s="25" t="s">
        <v>1236</v>
      </c>
      <c r="D308" s="6" t="s">
        <v>40</v>
      </c>
      <c r="E308" s="17" t="s">
        <v>1237</v>
      </c>
      <c r="F308" s="8">
        <f t="shared" si="15"/>
        <v>2</v>
      </c>
      <c r="G308" s="6" t="s">
        <v>1238</v>
      </c>
      <c r="H308" s="25"/>
      <c r="I308" s="17" t="s">
        <v>1239</v>
      </c>
      <c r="J308" s="17" t="s">
        <v>1240</v>
      </c>
    </row>
    <row r="309">
      <c r="A309" s="33"/>
      <c r="B309" s="33"/>
      <c r="C309" s="12"/>
      <c r="D309" s="12"/>
      <c r="E309" s="15"/>
      <c r="F309" s="14"/>
      <c r="G309" s="12"/>
      <c r="H309" s="12"/>
      <c r="I309" s="15"/>
      <c r="J309" s="15"/>
    </row>
    <row r="310">
      <c r="A310" s="33"/>
      <c r="B310" s="33"/>
      <c r="C310" s="12"/>
      <c r="D310" s="12"/>
      <c r="E310" s="15"/>
      <c r="F310" s="14"/>
      <c r="G310" s="12"/>
      <c r="H310" s="12"/>
      <c r="I310" s="15"/>
      <c r="J310" s="15"/>
    </row>
    <row r="311">
      <c r="A311" s="50" t="s">
        <v>1241</v>
      </c>
      <c r="B311" s="50" t="s">
        <v>703</v>
      </c>
      <c r="C311" s="51" t="s">
        <v>1242</v>
      </c>
      <c r="D311" s="51" t="s">
        <v>31</v>
      </c>
      <c r="E311" s="52" t="s">
        <v>1243</v>
      </c>
      <c r="F311" s="53">
        <f t="shared" ref="F311:F321" si="16">counta(I311:J311)</f>
        <v>2</v>
      </c>
      <c r="G311" s="54" t="s">
        <v>1244</v>
      </c>
      <c r="H311" s="51"/>
      <c r="I311" s="55" t="s">
        <v>1245</v>
      </c>
      <c r="J311" s="55" t="s">
        <v>1246</v>
      </c>
    </row>
    <row r="312">
      <c r="A312" s="50"/>
      <c r="B312" s="50" t="s">
        <v>703</v>
      </c>
      <c r="C312" s="51" t="s">
        <v>1247</v>
      </c>
      <c r="D312" s="51" t="s">
        <v>40</v>
      </c>
      <c r="E312" s="52" t="s">
        <v>1248</v>
      </c>
      <c r="F312" s="53">
        <f t="shared" si="16"/>
        <v>1</v>
      </c>
      <c r="G312" s="54" t="s">
        <v>1249</v>
      </c>
      <c r="H312" s="51"/>
      <c r="I312" s="56"/>
      <c r="J312" s="55" t="s">
        <v>1250</v>
      </c>
    </row>
    <row r="313">
      <c r="A313" s="50"/>
      <c r="B313" s="50" t="s">
        <v>703</v>
      </c>
      <c r="C313" s="54" t="s">
        <v>1251</v>
      </c>
      <c r="D313" s="54" t="s">
        <v>26</v>
      </c>
      <c r="E313" s="52" t="s">
        <v>1252</v>
      </c>
      <c r="F313" s="53">
        <f t="shared" si="16"/>
        <v>2</v>
      </c>
      <c r="G313" s="54" t="s">
        <v>1253</v>
      </c>
      <c r="H313" s="57"/>
      <c r="I313" s="55" t="s">
        <v>1254</v>
      </c>
      <c r="J313" s="55" t="s">
        <v>1255</v>
      </c>
    </row>
    <row r="314">
      <c r="A314" s="50"/>
      <c r="B314" s="50" t="s">
        <v>703</v>
      </c>
      <c r="C314" s="54" t="s">
        <v>1256</v>
      </c>
      <c r="D314" s="54" t="s">
        <v>145</v>
      </c>
      <c r="E314" s="52" t="s">
        <v>1257</v>
      </c>
      <c r="F314" s="53">
        <f t="shared" si="16"/>
        <v>2</v>
      </c>
      <c r="G314" s="54" t="s">
        <v>1258</v>
      </c>
      <c r="H314" s="54"/>
      <c r="I314" s="55" t="s">
        <v>1259</v>
      </c>
      <c r="J314" s="55" t="s">
        <v>1260</v>
      </c>
    </row>
    <row r="315">
      <c r="A315" s="50"/>
      <c r="B315" s="50" t="s">
        <v>703</v>
      </c>
      <c r="C315" s="54" t="s">
        <v>1261</v>
      </c>
      <c r="D315" s="54" t="s">
        <v>483</v>
      </c>
      <c r="E315" s="55" t="s">
        <v>1262</v>
      </c>
      <c r="F315" s="53">
        <f t="shared" si="16"/>
        <v>2</v>
      </c>
      <c r="G315" s="54" t="s">
        <v>1263</v>
      </c>
      <c r="H315" s="54"/>
      <c r="I315" s="55" t="s">
        <v>1264</v>
      </c>
      <c r="J315" s="55" t="s">
        <v>1265</v>
      </c>
    </row>
    <row r="316">
      <c r="A316" s="50"/>
      <c r="B316" s="50" t="s">
        <v>703</v>
      </c>
      <c r="C316" s="54" t="s">
        <v>1266</v>
      </c>
      <c r="D316" s="54" t="s">
        <v>483</v>
      </c>
      <c r="E316" s="55" t="s">
        <v>1267</v>
      </c>
      <c r="F316" s="53">
        <f t="shared" si="16"/>
        <v>2</v>
      </c>
      <c r="G316" s="54" t="s">
        <v>1268</v>
      </c>
      <c r="H316" s="54"/>
      <c r="I316" s="55" t="s">
        <v>1269</v>
      </c>
      <c r="J316" s="55" t="s">
        <v>1270</v>
      </c>
    </row>
    <row r="317">
      <c r="A317" s="50"/>
      <c r="B317" s="50" t="s">
        <v>703</v>
      </c>
      <c r="C317" s="54" t="s">
        <v>1271</v>
      </c>
      <c r="D317" s="54" t="s">
        <v>483</v>
      </c>
      <c r="E317" s="55" t="s">
        <v>1272</v>
      </c>
      <c r="F317" s="53">
        <f t="shared" si="16"/>
        <v>2</v>
      </c>
      <c r="G317" s="54" t="s">
        <v>1273</v>
      </c>
      <c r="H317" s="54"/>
      <c r="I317" s="55" t="s">
        <v>1274</v>
      </c>
      <c r="J317" s="55" t="s">
        <v>1275</v>
      </c>
    </row>
    <row r="318">
      <c r="A318" s="50"/>
      <c r="B318" s="50" t="s">
        <v>703</v>
      </c>
      <c r="C318" s="54" t="s">
        <v>1276</v>
      </c>
      <c r="D318" s="54" t="s">
        <v>483</v>
      </c>
      <c r="E318" s="55" t="s">
        <v>1277</v>
      </c>
      <c r="F318" s="53">
        <f t="shared" si="16"/>
        <v>2</v>
      </c>
      <c r="G318" s="54" t="s">
        <v>1278</v>
      </c>
      <c r="H318" s="54"/>
      <c r="I318" s="55" t="s">
        <v>1279</v>
      </c>
      <c r="J318" s="55" t="s">
        <v>1280</v>
      </c>
    </row>
    <row r="319">
      <c r="A319" s="50"/>
      <c r="B319" s="50" t="s">
        <v>703</v>
      </c>
      <c r="C319" s="54" t="s">
        <v>1281</v>
      </c>
      <c r="D319" s="54" t="s">
        <v>483</v>
      </c>
      <c r="E319" s="55" t="s">
        <v>1282</v>
      </c>
      <c r="F319" s="53">
        <f t="shared" si="16"/>
        <v>2</v>
      </c>
      <c r="G319" s="54" t="s">
        <v>1283</v>
      </c>
      <c r="H319" s="54"/>
      <c r="I319" s="55" t="s">
        <v>1284</v>
      </c>
      <c r="J319" s="55" t="s">
        <v>1285</v>
      </c>
    </row>
    <row r="320">
      <c r="A320" s="50"/>
      <c r="B320" s="50" t="s">
        <v>703</v>
      </c>
      <c r="C320" s="54" t="s">
        <v>1286</v>
      </c>
      <c r="D320" s="54" t="s">
        <v>40</v>
      </c>
      <c r="E320" s="52" t="s">
        <v>1287</v>
      </c>
      <c r="F320" s="53">
        <f t="shared" si="16"/>
        <v>1</v>
      </c>
      <c r="G320" s="54" t="s">
        <v>1288</v>
      </c>
      <c r="H320" s="54"/>
      <c r="I320" s="56"/>
      <c r="J320" s="55" t="s">
        <v>1289</v>
      </c>
    </row>
    <row r="321">
      <c r="A321" s="50"/>
      <c r="B321" s="50" t="s">
        <v>703</v>
      </c>
      <c r="C321" s="54" t="s">
        <v>1290</v>
      </c>
      <c r="D321" s="54" t="s">
        <v>40</v>
      </c>
      <c r="E321" s="52" t="s">
        <v>1291</v>
      </c>
      <c r="F321" s="53">
        <f t="shared" si="16"/>
        <v>1</v>
      </c>
      <c r="G321" s="54" t="s">
        <v>1290</v>
      </c>
      <c r="H321" s="54"/>
      <c r="I321" s="56"/>
      <c r="J321" s="55" t="s">
        <v>1292</v>
      </c>
    </row>
    <row r="322">
      <c r="A322" s="33"/>
      <c r="B322" s="33"/>
      <c r="C322" s="12"/>
      <c r="D322" s="39"/>
      <c r="E322" s="15"/>
      <c r="F322" s="14"/>
      <c r="G322" s="12"/>
      <c r="H322" s="12"/>
      <c r="I322" s="15"/>
      <c r="J322" s="15"/>
    </row>
    <row r="323">
      <c r="A323" s="50" t="s">
        <v>1241</v>
      </c>
      <c r="B323" s="50" t="s">
        <v>795</v>
      </c>
      <c r="C323" s="54" t="s">
        <v>1293</v>
      </c>
      <c r="D323" s="54" t="s">
        <v>31</v>
      </c>
      <c r="E323" s="55" t="s">
        <v>1294</v>
      </c>
      <c r="F323" s="53">
        <f t="shared" ref="F323:F332" si="17">counta(I323:J323)</f>
        <v>2</v>
      </c>
      <c r="G323" s="54" t="s">
        <v>1295</v>
      </c>
      <c r="H323" s="54"/>
      <c r="I323" s="55" t="s">
        <v>1296</v>
      </c>
      <c r="J323" s="55" t="s">
        <v>1297</v>
      </c>
    </row>
    <row r="324">
      <c r="A324" s="50"/>
      <c r="B324" s="50" t="s">
        <v>795</v>
      </c>
      <c r="C324" s="54" t="s">
        <v>1298</v>
      </c>
      <c r="D324" s="54" t="s">
        <v>26</v>
      </c>
      <c r="E324" s="55" t="s">
        <v>797</v>
      </c>
      <c r="F324" s="53">
        <f t="shared" si="17"/>
        <v>2</v>
      </c>
      <c r="G324" s="54" t="s">
        <v>1299</v>
      </c>
      <c r="H324" s="54"/>
      <c r="I324" s="55" t="s">
        <v>1300</v>
      </c>
      <c r="J324" s="55" t="s">
        <v>1301</v>
      </c>
    </row>
    <row r="325">
      <c r="A325" s="50"/>
      <c r="B325" s="50" t="s">
        <v>795</v>
      </c>
      <c r="C325" s="54" t="s">
        <v>1302</v>
      </c>
      <c r="D325" s="54" t="s">
        <v>145</v>
      </c>
      <c r="E325" s="55" t="s">
        <v>801</v>
      </c>
      <c r="F325" s="53">
        <f t="shared" si="17"/>
        <v>2</v>
      </c>
      <c r="G325" s="54" t="s">
        <v>1303</v>
      </c>
      <c r="H325" s="54"/>
      <c r="I325" s="55" t="s">
        <v>1304</v>
      </c>
      <c r="J325" s="55" t="s">
        <v>1305</v>
      </c>
    </row>
    <row r="326">
      <c r="A326" s="50"/>
      <c r="B326" s="50" t="s">
        <v>795</v>
      </c>
      <c r="C326" s="54" t="s">
        <v>1306</v>
      </c>
      <c r="D326" s="54" t="s">
        <v>483</v>
      </c>
      <c r="E326" s="55" t="s">
        <v>804</v>
      </c>
      <c r="F326" s="53">
        <f t="shared" si="17"/>
        <v>2</v>
      </c>
      <c r="G326" s="54" t="s">
        <v>1307</v>
      </c>
      <c r="H326" s="54"/>
      <c r="I326" s="55" t="s">
        <v>1308</v>
      </c>
      <c r="J326" s="55" t="s">
        <v>1309</v>
      </c>
    </row>
    <row r="327">
      <c r="A327" s="50"/>
      <c r="B327" s="50" t="s">
        <v>795</v>
      </c>
      <c r="C327" s="54" t="s">
        <v>1310</v>
      </c>
      <c r="D327" s="54" t="s">
        <v>483</v>
      </c>
      <c r="E327" s="55" t="s">
        <v>807</v>
      </c>
      <c r="F327" s="53">
        <f t="shared" si="17"/>
        <v>2</v>
      </c>
      <c r="G327" s="54" t="s">
        <v>1311</v>
      </c>
      <c r="H327" s="54"/>
      <c r="I327" s="55" t="s">
        <v>1312</v>
      </c>
      <c r="J327" s="55" t="s">
        <v>1313</v>
      </c>
    </row>
    <row r="328">
      <c r="A328" s="50"/>
      <c r="B328" s="50" t="s">
        <v>795</v>
      </c>
      <c r="C328" s="54" t="s">
        <v>1314</v>
      </c>
      <c r="D328" s="54" t="s">
        <v>483</v>
      </c>
      <c r="E328" s="55" t="s">
        <v>810</v>
      </c>
      <c r="F328" s="53">
        <f t="shared" si="17"/>
        <v>2</v>
      </c>
      <c r="G328" s="54" t="s">
        <v>1315</v>
      </c>
      <c r="H328" s="54"/>
      <c r="I328" s="55" t="s">
        <v>1316</v>
      </c>
      <c r="J328" s="55" t="s">
        <v>1317</v>
      </c>
    </row>
    <row r="329">
      <c r="A329" s="50"/>
      <c r="B329" s="50" t="s">
        <v>795</v>
      </c>
      <c r="C329" s="54" t="s">
        <v>1318</v>
      </c>
      <c r="D329" s="54" t="s">
        <v>40</v>
      </c>
      <c r="E329" s="55" t="s">
        <v>813</v>
      </c>
      <c r="F329" s="53">
        <f t="shared" si="17"/>
        <v>2</v>
      </c>
      <c r="G329" s="54" t="s">
        <v>1319</v>
      </c>
      <c r="H329" s="54"/>
      <c r="I329" s="55" t="s">
        <v>1320</v>
      </c>
      <c r="J329" s="55" t="s">
        <v>1321</v>
      </c>
    </row>
    <row r="330">
      <c r="A330" s="50"/>
      <c r="B330" s="50" t="s">
        <v>795</v>
      </c>
      <c r="C330" s="54" t="s">
        <v>1322</v>
      </c>
      <c r="D330" s="54" t="s">
        <v>40</v>
      </c>
      <c r="E330" s="55" t="s">
        <v>816</v>
      </c>
      <c r="F330" s="53">
        <f t="shared" si="17"/>
        <v>2</v>
      </c>
      <c r="G330" s="54" t="s">
        <v>1323</v>
      </c>
      <c r="H330" s="54"/>
      <c r="I330" s="55" t="s">
        <v>1324</v>
      </c>
      <c r="J330" s="55" t="s">
        <v>1325</v>
      </c>
    </row>
    <row r="331">
      <c r="A331" s="50"/>
      <c r="B331" s="50" t="s">
        <v>795</v>
      </c>
      <c r="C331" s="54" t="s">
        <v>1326</v>
      </c>
      <c r="D331" s="54" t="s">
        <v>40</v>
      </c>
      <c r="E331" s="55" t="s">
        <v>819</v>
      </c>
      <c r="F331" s="53">
        <f t="shared" si="17"/>
        <v>2</v>
      </c>
      <c r="G331" s="54" t="s">
        <v>1327</v>
      </c>
      <c r="H331" s="54"/>
      <c r="I331" s="55" t="s">
        <v>1328</v>
      </c>
      <c r="J331" s="55" t="s">
        <v>1329</v>
      </c>
    </row>
    <row r="332">
      <c r="A332" s="50"/>
      <c r="B332" s="50" t="s">
        <v>795</v>
      </c>
      <c r="C332" s="54" t="s">
        <v>1330</v>
      </c>
      <c r="D332" s="54" t="s">
        <v>40</v>
      </c>
      <c r="E332" s="55" t="s">
        <v>822</v>
      </c>
      <c r="F332" s="53">
        <f t="shared" si="17"/>
        <v>2</v>
      </c>
      <c r="G332" s="54" t="s">
        <v>1331</v>
      </c>
      <c r="H332" s="54"/>
      <c r="I332" s="55" t="s">
        <v>1332</v>
      </c>
      <c r="J332" s="55" t="s">
        <v>1333</v>
      </c>
    </row>
    <row r="333">
      <c r="A333" s="33"/>
      <c r="B333" s="33"/>
      <c r="C333" s="12"/>
      <c r="D333" s="12"/>
      <c r="E333" s="15"/>
      <c r="F333" s="14"/>
      <c r="G333" s="12"/>
      <c r="H333" s="12"/>
      <c r="I333" s="15"/>
      <c r="J333" s="15"/>
    </row>
    <row r="334">
      <c r="A334" s="50" t="s">
        <v>1241</v>
      </c>
      <c r="B334" s="50" t="s">
        <v>824</v>
      </c>
      <c r="C334" s="54" t="s">
        <v>1334</v>
      </c>
      <c r="D334" s="54" t="s">
        <v>31</v>
      </c>
      <c r="E334" s="55" t="s">
        <v>1335</v>
      </c>
      <c r="F334" s="53">
        <f t="shared" ref="F334:F342" si="18">counta(I334:J334)</f>
        <v>2</v>
      </c>
      <c r="G334" s="54" t="s">
        <v>1336</v>
      </c>
      <c r="H334" s="54"/>
      <c r="I334" s="55" t="s">
        <v>1337</v>
      </c>
      <c r="J334" s="55" t="s">
        <v>1338</v>
      </c>
    </row>
    <row r="335">
      <c r="A335" s="50"/>
      <c r="B335" s="50" t="s">
        <v>824</v>
      </c>
      <c r="C335" s="54" t="s">
        <v>1339</v>
      </c>
      <c r="D335" s="54" t="s">
        <v>26</v>
      </c>
      <c r="E335" s="52" t="s">
        <v>826</v>
      </c>
      <c r="F335" s="53">
        <f t="shared" si="18"/>
        <v>2</v>
      </c>
      <c r="G335" s="54" t="s">
        <v>1340</v>
      </c>
      <c r="H335" s="54"/>
      <c r="I335" s="55" t="s">
        <v>1341</v>
      </c>
      <c r="J335" s="55" t="s">
        <v>1342</v>
      </c>
    </row>
    <row r="336">
      <c r="A336" s="50"/>
      <c r="B336" s="50" t="s">
        <v>824</v>
      </c>
      <c r="C336" s="54" t="s">
        <v>1343</v>
      </c>
      <c r="D336" s="54" t="s">
        <v>145</v>
      </c>
      <c r="E336" s="52" t="s">
        <v>830</v>
      </c>
      <c r="F336" s="53">
        <f t="shared" si="18"/>
        <v>2</v>
      </c>
      <c r="G336" s="54" t="s">
        <v>1344</v>
      </c>
      <c r="H336" s="54"/>
      <c r="I336" s="55" t="s">
        <v>1345</v>
      </c>
      <c r="J336" s="55" t="s">
        <v>1346</v>
      </c>
    </row>
    <row r="337">
      <c r="A337" s="50"/>
      <c r="B337" s="50" t="s">
        <v>824</v>
      </c>
      <c r="C337" s="54" t="s">
        <v>833</v>
      </c>
      <c r="D337" s="54" t="s">
        <v>833</v>
      </c>
      <c r="E337" s="55" t="s">
        <v>834</v>
      </c>
      <c r="F337" s="53">
        <f t="shared" si="18"/>
        <v>2</v>
      </c>
      <c r="G337" s="54" t="s">
        <v>1347</v>
      </c>
      <c r="H337" s="54"/>
      <c r="I337" s="55" t="s">
        <v>1348</v>
      </c>
      <c r="J337" s="55" t="s">
        <v>1349</v>
      </c>
    </row>
    <row r="338">
      <c r="A338" s="50"/>
      <c r="B338" s="50" t="s">
        <v>824</v>
      </c>
      <c r="C338" s="54" t="s">
        <v>1350</v>
      </c>
      <c r="D338" s="54" t="s">
        <v>483</v>
      </c>
      <c r="E338" s="55" t="s">
        <v>1351</v>
      </c>
      <c r="F338" s="53">
        <f t="shared" si="18"/>
        <v>2</v>
      </c>
      <c r="G338" s="54" t="s">
        <v>1352</v>
      </c>
      <c r="H338" s="54"/>
      <c r="I338" s="55" t="s">
        <v>1353</v>
      </c>
      <c r="J338" s="55" t="s">
        <v>1354</v>
      </c>
    </row>
    <row r="339">
      <c r="A339" s="50"/>
      <c r="B339" s="50" t="s">
        <v>824</v>
      </c>
      <c r="C339" s="54" t="s">
        <v>1355</v>
      </c>
      <c r="D339" s="54" t="s">
        <v>483</v>
      </c>
      <c r="E339" s="55" t="s">
        <v>840</v>
      </c>
      <c r="F339" s="53">
        <f t="shared" si="18"/>
        <v>2</v>
      </c>
      <c r="G339" s="54" t="s">
        <v>1356</v>
      </c>
      <c r="H339" s="54"/>
      <c r="I339" s="55" t="s">
        <v>1357</v>
      </c>
      <c r="J339" s="55" t="s">
        <v>1358</v>
      </c>
    </row>
    <row r="340">
      <c r="A340" s="50"/>
      <c r="B340" s="50" t="s">
        <v>824</v>
      </c>
      <c r="C340" s="54" t="s">
        <v>1359</v>
      </c>
      <c r="D340" s="54" t="s">
        <v>483</v>
      </c>
      <c r="E340" s="55" t="s">
        <v>843</v>
      </c>
      <c r="F340" s="53">
        <f t="shared" si="18"/>
        <v>2</v>
      </c>
      <c r="G340" s="54" t="s">
        <v>1360</v>
      </c>
      <c r="H340" s="54"/>
      <c r="I340" s="55" t="s">
        <v>1361</v>
      </c>
      <c r="J340" s="55" t="s">
        <v>1362</v>
      </c>
    </row>
    <row r="341">
      <c r="A341" s="50"/>
      <c r="B341" s="50" t="s">
        <v>824</v>
      </c>
      <c r="C341" s="54" t="s">
        <v>1363</v>
      </c>
      <c r="D341" s="54" t="s">
        <v>483</v>
      </c>
      <c r="E341" s="55" t="s">
        <v>846</v>
      </c>
      <c r="F341" s="53">
        <f t="shared" si="18"/>
        <v>2</v>
      </c>
      <c r="G341" s="54" t="s">
        <v>1364</v>
      </c>
      <c r="H341" s="54"/>
      <c r="I341" s="55" t="s">
        <v>1365</v>
      </c>
      <c r="J341" s="55" t="s">
        <v>1366</v>
      </c>
    </row>
    <row r="342">
      <c r="A342" s="50"/>
      <c r="B342" s="50" t="s">
        <v>824</v>
      </c>
      <c r="C342" s="54" t="s">
        <v>1367</v>
      </c>
      <c r="D342" s="54" t="s">
        <v>483</v>
      </c>
      <c r="E342" s="55" t="s">
        <v>849</v>
      </c>
      <c r="F342" s="53">
        <f t="shared" si="18"/>
        <v>2</v>
      </c>
      <c r="G342" s="54" t="s">
        <v>1368</v>
      </c>
      <c r="H342" s="54"/>
      <c r="I342" s="55" t="s">
        <v>1369</v>
      </c>
      <c r="J342" s="55" t="s">
        <v>1370</v>
      </c>
    </row>
    <row r="343">
      <c r="A343" s="33"/>
      <c r="B343" s="33"/>
      <c r="C343" s="12"/>
      <c r="D343" s="12"/>
      <c r="E343" s="15"/>
      <c r="F343" s="14"/>
      <c r="G343" s="12" t="s">
        <v>851</v>
      </c>
      <c r="H343" s="12"/>
      <c r="I343" s="40"/>
      <c r="J343" s="15"/>
    </row>
    <row r="344">
      <c r="A344" s="50" t="s">
        <v>1241</v>
      </c>
      <c r="B344" s="58" t="s">
        <v>852</v>
      </c>
      <c r="C344" s="54" t="s">
        <v>1371</v>
      </c>
      <c r="D344" s="54" t="s">
        <v>31</v>
      </c>
      <c r="E344" s="55" t="s">
        <v>1372</v>
      </c>
      <c r="F344" s="53">
        <f t="shared" ref="F344:F357" si="19">counta(I344:J344)</f>
        <v>1</v>
      </c>
      <c r="G344" s="54" t="s">
        <v>1373</v>
      </c>
      <c r="H344" s="54"/>
      <c r="I344" s="55" t="s">
        <v>1374</v>
      </c>
      <c r="J344" s="56"/>
    </row>
    <row r="345">
      <c r="A345" s="50"/>
      <c r="B345" s="58" t="s">
        <v>852</v>
      </c>
      <c r="C345" s="54" t="s">
        <v>1375</v>
      </c>
      <c r="D345" s="54" t="s">
        <v>26</v>
      </c>
      <c r="E345" s="55" t="s">
        <v>854</v>
      </c>
      <c r="F345" s="53">
        <f t="shared" si="19"/>
        <v>2</v>
      </c>
      <c r="G345" s="54" t="s">
        <v>1376</v>
      </c>
      <c r="H345" s="54"/>
      <c r="I345" s="55" t="s">
        <v>1377</v>
      </c>
      <c r="J345" s="55" t="s">
        <v>1378</v>
      </c>
    </row>
    <row r="346">
      <c r="A346" s="50"/>
      <c r="B346" s="58" t="s">
        <v>852</v>
      </c>
      <c r="C346" s="54" t="s">
        <v>1379</v>
      </c>
      <c r="D346" s="54" t="s">
        <v>145</v>
      </c>
      <c r="E346" s="55" t="s">
        <v>857</v>
      </c>
      <c r="F346" s="53">
        <f t="shared" si="19"/>
        <v>2</v>
      </c>
      <c r="G346" s="54" t="s">
        <v>1380</v>
      </c>
      <c r="H346" s="54"/>
      <c r="I346" s="55" t="s">
        <v>1381</v>
      </c>
      <c r="J346" s="55" t="s">
        <v>1382</v>
      </c>
    </row>
    <row r="347">
      <c r="A347" s="50"/>
      <c r="B347" s="58" t="s">
        <v>852</v>
      </c>
      <c r="C347" s="54" t="s">
        <v>663</v>
      </c>
      <c r="D347" s="54" t="s">
        <v>663</v>
      </c>
      <c r="E347" s="55"/>
      <c r="F347" s="53">
        <f t="shared" si="19"/>
        <v>1</v>
      </c>
      <c r="G347" s="54" t="s">
        <v>1383</v>
      </c>
      <c r="H347" s="54"/>
      <c r="I347" s="55"/>
      <c r="J347" s="55" t="s">
        <v>1384</v>
      </c>
    </row>
    <row r="348">
      <c r="A348" s="50"/>
      <c r="B348" s="58" t="s">
        <v>852</v>
      </c>
      <c r="C348" s="54" t="s">
        <v>1385</v>
      </c>
      <c r="D348" s="54" t="s">
        <v>483</v>
      </c>
      <c r="E348" s="55" t="s">
        <v>862</v>
      </c>
      <c r="F348" s="53">
        <f t="shared" si="19"/>
        <v>2</v>
      </c>
      <c r="G348" s="54" t="s">
        <v>1386</v>
      </c>
      <c r="H348" s="54"/>
      <c r="I348" s="55" t="s">
        <v>1387</v>
      </c>
      <c r="J348" s="55" t="s">
        <v>1388</v>
      </c>
    </row>
    <row r="349">
      <c r="A349" s="50"/>
      <c r="B349" s="58" t="s">
        <v>852</v>
      </c>
      <c r="C349" s="54" t="s">
        <v>1389</v>
      </c>
      <c r="D349" s="54" t="s">
        <v>483</v>
      </c>
      <c r="E349" s="55" t="s">
        <v>865</v>
      </c>
      <c r="F349" s="53">
        <f t="shared" si="19"/>
        <v>2</v>
      </c>
      <c r="G349" s="54" t="s">
        <v>1390</v>
      </c>
      <c r="H349" s="54"/>
      <c r="I349" s="55" t="s">
        <v>1391</v>
      </c>
      <c r="J349" s="55" t="s">
        <v>1392</v>
      </c>
    </row>
    <row r="350">
      <c r="A350" s="50"/>
      <c r="B350" s="58" t="s">
        <v>852</v>
      </c>
      <c r="C350" s="54" t="s">
        <v>1393</v>
      </c>
      <c r="D350" s="54" t="s">
        <v>483</v>
      </c>
      <c r="E350" s="55" t="s">
        <v>868</v>
      </c>
      <c r="F350" s="53">
        <f t="shared" si="19"/>
        <v>2</v>
      </c>
      <c r="G350" s="54" t="s">
        <v>1394</v>
      </c>
      <c r="H350" s="54"/>
      <c r="I350" s="55" t="s">
        <v>1395</v>
      </c>
      <c r="J350" s="55" t="s">
        <v>1396</v>
      </c>
    </row>
    <row r="351">
      <c r="A351" s="50"/>
      <c r="B351" s="58" t="s">
        <v>852</v>
      </c>
      <c r="C351" s="54" t="s">
        <v>1397</v>
      </c>
      <c r="D351" s="54" t="s">
        <v>483</v>
      </c>
      <c r="E351" s="55" t="s">
        <v>871</v>
      </c>
      <c r="F351" s="53">
        <f t="shared" si="19"/>
        <v>2</v>
      </c>
      <c r="G351" s="54" t="s">
        <v>1398</v>
      </c>
      <c r="H351" s="54"/>
      <c r="I351" s="55" t="s">
        <v>1399</v>
      </c>
      <c r="J351" s="55" t="s">
        <v>1400</v>
      </c>
    </row>
    <row r="352">
      <c r="A352" s="50"/>
      <c r="B352" s="58" t="s">
        <v>852</v>
      </c>
      <c r="C352" s="54" t="s">
        <v>1401</v>
      </c>
      <c r="D352" s="54" t="s">
        <v>483</v>
      </c>
      <c r="E352" s="55" t="s">
        <v>874</v>
      </c>
      <c r="F352" s="53">
        <f t="shared" si="19"/>
        <v>2</v>
      </c>
      <c r="G352" s="54" t="s">
        <v>1402</v>
      </c>
      <c r="H352" s="54"/>
      <c r="I352" s="55" t="s">
        <v>1403</v>
      </c>
      <c r="J352" s="55" t="s">
        <v>1404</v>
      </c>
    </row>
    <row r="353">
      <c r="A353" s="50"/>
      <c r="B353" s="58" t="s">
        <v>852</v>
      </c>
      <c r="C353" s="54" t="s">
        <v>1405</v>
      </c>
      <c r="D353" s="54" t="s">
        <v>483</v>
      </c>
      <c r="E353" s="55" t="s">
        <v>877</v>
      </c>
      <c r="F353" s="53">
        <f t="shared" si="19"/>
        <v>1</v>
      </c>
      <c r="G353" s="54" t="s">
        <v>1406</v>
      </c>
      <c r="H353" s="54"/>
      <c r="I353" s="56"/>
      <c r="J353" s="55" t="s">
        <v>1407</v>
      </c>
    </row>
    <row r="354">
      <c r="A354" s="50"/>
      <c r="B354" s="58" t="s">
        <v>852</v>
      </c>
      <c r="C354" s="54" t="s">
        <v>1408</v>
      </c>
      <c r="D354" s="54" t="s">
        <v>483</v>
      </c>
      <c r="E354" s="55" t="s">
        <v>880</v>
      </c>
      <c r="F354" s="53">
        <f t="shared" si="19"/>
        <v>1</v>
      </c>
      <c r="G354" s="54" t="s">
        <v>1409</v>
      </c>
      <c r="H354" s="54"/>
      <c r="I354" s="56"/>
      <c r="J354" s="55" t="s">
        <v>1410</v>
      </c>
    </row>
    <row r="355">
      <c r="A355" s="50"/>
      <c r="B355" s="58" t="s">
        <v>852</v>
      </c>
      <c r="C355" s="54" t="s">
        <v>1411</v>
      </c>
      <c r="D355" s="54" t="s">
        <v>483</v>
      </c>
      <c r="E355" s="55" t="s">
        <v>883</v>
      </c>
      <c r="F355" s="53">
        <f t="shared" si="19"/>
        <v>1</v>
      </c>
      <c r="G355" s="54" t="s">
        <v>1412</v>
      </c>
      <c r="H355" s="54"/>
      <c r="I355" s="56"/>
      <c r="J355" s="55" t="s">
        <v>1413</v>
      </c>
    </row>
    <row r="356">
      <c r="A356" s="50"/>
      <c r="B356" s="58" t="s">
        <v>852</v>
      </c>
      <c r="C356" s="54" t="s">
        <v>1414</v>
      </c>
      <c r="D356" s="54" t="s">
        <v>483</v>
      </c>
      <c r="E356" s="55" t="s">
        <v>886</v>
      </c>
      <c r="F356" s="53">
        <f t="shared" si="19"/>
        <v>1</v>
      </c>
      <c r="G356" s="54" t="s">
        <v>1415</v>
      </c>
      <c r="H356" s="54"/>
      <c r="I356" s="56"/>
      <c r="J356" s="55" t="s">
        <v>1416</v>
      </c>
    </row>
    <row r="357">
      <c r="A357" s="50"/>
      <c r="B357" s="58" t="s">
        <v>852</v>
      </c>
      <c r="C357" s="54" t="s">
        <v>1417</v>
      </c>
      <c r="D357" s="54" t="s">
        <v>483</v>
      </c>
      <c r="E357" s="55" t="s">
        <v>889</v>
      </c>
      <c r="F357" s="53">
        <f t="shared" si="19"/>
        <v>1</v>
      </c>
      <c r="G357" s="54" t="s">
        <v>1418</v>
      </c>
      <c r="H357" s="54"/>
      <c r="I357" s="56"/>
      <c r="J357" s="55" t="s">
        <v>1419</v>
      </c>
    </row>
    <row r="358">
      <c r="A358" s="33"/>
      <c r="B358" s="33"/>
      <c r="C358" s="12"/>
      <c r="D358" s="12"/>
      <c r="E358" s="15"/>
      <c r="F358" s="14"/>
      <c r="G358" s="12"/>
      <c r="H358" s="12"/>
      <c r="I358" s="40"/>
      <c r="J358" s="15"/>
    </row>
    <row r="359">
      <c r="A359" s="50" t="s">
        <v>1241</v>
      </c>
      <c r="B359" s="50" t="s">
        <v>891</v>
      </c>
      <c r="C359" s="54" t="s">
        <v>1420</v>
      </c>
      <c r="D359" s="54" t="s">
        <v>40</v>
      </c>
      <c r="E359" s="55" t="s">
        <v>893</v>
      </c>
      <c r="F359" s="53">
        <f t="shared" ref="F359:F374" si="20">counta(I359:J359)</f>
        <v>1</v>
      </c>
      <c r="G359" s="54" t="s">
        <v>1420</v>
      </c>
      <c r="H359" s="54"/>
      <c r="I359" s="56"/>
      <c r="J359" s="55" t="s">
        <v>1421</v>
      </c>
    </row>
    <row r="360">
      <c r="A360" s="50"/>
      <c r="B360" s="50" t="s">
        <v>891</v>
      </c>
      <c r="C360" s="54" t="s">
        <v>1422</v>
      </c>
      <c r="D360" s="54" t="s">
        <v>31</v>
      </c>
      <c r="E360" s="55" t="s">
        <v>1423</v>
      </c>
      <c r="F360" s="53">
        <f t="shared" si="20"/>
        <v>1</v>
      </c>
      <c r="G360" s="54" t="s">
        <v>1424</v>
      </c>
      <c r="H360" s="54"/>
      <c r="I360" s="55" t="s">
        <v>1425</v>
      </c>
      <c r="J360" s="59"/>
    </row>
    <row r="361">
      <c r="A361" s="50"/>
      <c r="B361" s="50" t="s">
        <v>891</v>
      </c>
      <c r="C361" s="54" t="s">
        <v>1426</v>
      </c>
      <c r="D361" s="54" t="s">
        <v>26</v>
      </c>
      <c r="E361" s="55" t="s">
        <v>896</v>
      </c>
      <c r="F361" s="53">
        <f t="shared" si="20"/>
        <v>1</v>
      </c>
      <c r="G361" s="54" t="s">
        <v>1427</v>
      </c>
      <c r="H361" s="54"/>
      <c r="I361" s="55" t="s">
        <v>1428</v>
      </c>
      <c r="J361" s="59"/>
    </row>
    <row r="362">
      <c r="A362" s="50"/>
      <c r="B362" s="50" t="s">
        <v>891</v>
      </c>
      <c r="C362" s="54" t="s">
        <v>1429</v>
      </c>
      <c r="D362" s="54" t="s">
        <v>145</v>
      </c>
      <c r="E362" s="55" t="s">
        <v>899</v>
      </c>
      <c r="F362" s="53">
        <f t="shared" si="20"/>
        <v>1</v>
      </c>
      <c r="G362" s="54" t="s">
        <v>1430</v>
      </c>
      <c r="H362" s="54"/>
      <c r="I362" s="55" t="s">
        <v>1431</v>
      </c>
      <c r="J362" s="59"/>
    </row>
    <row r="363">
      <c r="A363" s="50"/>
      <c r="B363" s="50" t="s">
        <v>891</v>
      </c>
      <c r="C363" s="54" t="s">
        <v>1432</v>
      </c>
      <c r="D363" s="54" t="s">
        <v>483</v>
      </c>
      <c r="E363" s="55" t="s">
        <v>902</v>
      </c>
      <c r="F363" s="53">
        <f t="shared" si="20"/>
        <v>2</v>
      </c>
      <c r="G363" s="54" t="s">
        <v>1433</v>
      </c>
      <c r="H363" s="54"/>
      <c r="I363" s="55" t="s">
        <v>1434</v>
      </c>
      <c r="J363" s="55" t="s">
        <v>1435</v>
      </c>
    </row>
    <row r="364">
      <c r="A364" s="50"/>
      <c r="B364" s="50" t="s">
        <v>891</v>
      </c>
      <c r="C364" s="54" t="s">
        <v>1436</v>
      </c>
      <c r="D364" s="54" t="s">
        <v>483</v>
      </c>
      <c r="E364" s="55" t="s">
        <v>905</v>
      </c>
      <c r="F364" s="53">
        <f t="shared" si="20"/>
        <v>2</v>
      </c>
      <c r="G364" s="54" t="s">
        <v>1437</v>
      </c>
      <c r="H364" s="54"/>
      <c r="I364" s="55" t="s">
        <v>1438</v>
      </c>
      <c r="J364" s="55" t="s">
        <v>1439</v>
      </c>
    </row>
    <row r="365">
      <c r="A365" s="50"/>
      <c r="B365" s="50" t="s">
        <v>891</v>
      </c>
      <c r="C365" s="54" t="s">
        <v>1440</v>
      </c>
      <c r="D365" s="54" t="s">
        <v>483</v>
      </c>
      <c r="E365" s="55" t="s">
        <v>908</v>
      </c>
      <c r="F365" s="53">
        <f t="shared" si="20"/>
        <v>2</v>
      </c>
      <c r="G365" s="54" t="s">
        <v>1441</v>
      </c>
      <c r="H365" s="54"/>
      <c r="I365" s="55" t="s">
        <v>1442</v>
      </c>
      <c r="J365" s="55" t="s">
        <v>1443</v>
      </c>
    </row>
    <row r="366">
      <c r="A366" s="50"/>
      <c r="B366" s="50" t="s">
        <v>891</v>
      </c>
      <c r="C366" s="54" t="s">
        <v>1444</v>
      </c>
      <c r="D366" s="54" t="s">
        <v>483</v>
      </c>
      <c r="E366" s="55" t="s">
        <v>911</v>
      </c>
      <c r="F366" s="53">
        <f t="shared" si="20"/>
        <v>2</v>
      </c>
      <c r="G366" s="54" t="s">
        <v>1445</v>
      </c>
      <c r="H366" s="54"/>
      <c r="I366" s="55" t="s">
        <v>1446</v>
      </c>
      <c r="J366" s="55" t="s">
        <v>1447</v>
      </c>
    </row>
    <row r="367">
      <c r="A367" s="50"/>
      <c r="B367" s="50" t="s">
        <v>891</v>
      </c>
      <c r="C367" s="54" t="s">
        <v>1448</v>
      </c>
      <c r="D367" s="54" t="s">
        <v>483</v>
      </c>
      <c r="E367" s="55" t="s">
        <v>914</v>
      </c>
      <c r="F367" s="53">
        <f t="shared" si="20"/>
        <v>2</v>
      </c>
      <c r="G367" s="54" t="s">
        <v>1449</v>
      </c>
      <c r="H367" s="54"/>
      <c r="I367" s="55" t="s">
        <v>1450</v>
      </c>
      <c r="J367" s="55" t="s">
        <v>1451</v>
      </c>
    </row>
    <row r="368">
      <c r="A368" s="50"/>
      <c r="B368" s="50" t="s">
        <v>891</v>
      </c>
      <c r="C368" s="54" t="s">
        <v>1452</v>
      </c>
      <c r="D368" s="54" t="s">
        <v>483</v>
      </c>
      <c r="E368" s="55" t="s">
        <v>917</v>
      </c>
      <c r="F368" s="53">
        <f t="shared" si="20"/>
        <v>2</v>
      </c>
      <c r="G368" s="54" t="s">
        <v>1453</v>
      </c>
      <c r="H368" s="54"/>
      <c r="I368" s="55" t="s">
        <v>1454</v>
      </c>
      <c r="J368" s="55" t="s">
        <v>1455</v>
      </c>
    </row>
    <row r="369">
      <c r="A369" s="50"/>
      <c r="B369" s="50" t="s">
        <v>891</v>
      </c>
      <c r="C369" s="54" t="s">
        <v>1456</v>
      </c>
      <c r="D369" s="54" t="s">
        <v>483</v>
      </c>
      <c r="E369" s="55" t="s">
        <v>920</v>
      </c>
      <c r="F369" s="53">
        <f t="shared" si="20"/>
        <v>2</v>
      </c>
      <c r="G369" s="54" t="s">
        <v>1457</v>
      </c>
      <c r="H369" s="54"/>
      <c r="I369" s="55" t="s">
        <v>1458</v>
      </c>
      <c r="J369" s="55" t="s">
        <v>1459</v>
      </c>
    </row>
    <row r="370">
      <c r="A370" s="50"/>
      <c r="B370" s="50" t="s">
        <v>891</v>
      </c>
      <c r="C370" s="54" t="s">
        <v>1460</v>
      </c>
      <c r="D370" s="54" t="s">
        <v>483</v>
      </c>
      <c r="E370" s="55" t="s">
        <v>923</v>
      </c>
      <c r="F370" s="53">
        <f t="shared" si="20"/>
        <v>2</v>
      </c>
      <c r="G370" s="54" t="s">
        <v>1461</v>
      </c>
      <c r="H370" s="54"/>
      <c r="I370" s="55" t="s">
        <v>1462</v>
      </c>
      <c r="J370" s="55" t="s">
        <v>1463</v>
      </c>
    </row>
    <row r="371">
      <c r="A371" s="50"/>
      <c r="B371" s="50" t="s">
        <v>891</v>
      </c>
      <c r="C371" s="54" t="s">
        <v>1464</v>
      </c>
      <c r="D371" s="54" t="s">
        <v>483</v>
      </c>
      <c r="E371" s="55" t="s">
        <v>1465</v>
      </c>
      <c r="F371" s="53">
        <f t="shared" si="20"/>
        <v>2</v>
      </c>
      <c r="G371" s="54" t="s">
        <v>1466</v>
      </c>
      <c r="H371" s="54"/>
      <c r="I371" s="55" t="s">
        <v>1467</v>
      </c>
      <c r="J371" s="60" t="s">
        <v>1468</v>
      </c>
    </row>
    <row r="372">
      <c r="A372" s="50"/>
      <c r="B372" s="50" t="s">
        <v>891</v>
      </c>
      <c r="C372" s="54" t="s">
        <v>1469</v>
      </c>
      <c r="D372" s="54" t="s">
        <v>26</v>
      </c>
      <c r="E372" s="55" t="s">
        <v>1470</v>
      </c>
      <c r="F372" s="53">
        <f t="shared" si="20"/>
        <v>1</v>
      </c>
      <c r="G372" s="54" t="s">
        <v>1471</v>
      </c>
      <c r="H372" s="54"/>
      <c r="I372" s="57"/>
      <c r="J372" s="60" t="s">
        <v>1472</v>
      </c>
    </row>
    <row r="373">
      <c r="A373" s="50"/>
      <c r="B373" s="50" t="s">
        <v>891</v>
      </c>
      <c r="C373" s="54" t="s">
        <v>1473</v>
      </c>
      <c r="D373" s="54" t="s">
        <v>483</v>
      </c>
      <c r="E373" s="55" t="s">
        <v>1474</v>
      </c>
      <c r="F373" s="53">
        <f t="shared" si="20"/>
        <v>2</v>
      </c>
      <c r="G373" s="54" t="s">
        <v>1475</v>
      </c>
      <c r="H373" s="54"/>
      <c r="I373" s="55" t="s">
        <v>1476</v>
      </c>
      <c r="J373" s="60" t="s">
        <v>1477</v>
      </c>
    </row>
    <row r="374">
      <c r="A374" s="50"/>
      <c r="B374" s="50" t="s">
        <v>891</v>
      </c>
      <c r="C374" s="54" t="s">
        <v>1478</v>
      </c>
      <c r="D374" s="54" t="s">
        <v>26</v>
      </c>
      <c r="E374" s="55" t="s">
        <v>1479</v>
      </c>
      <c r="F374" s="53">
        <f t="shared" si="20"/>
        <v>1</v>
      </c>
      <c r="G374" s="54" t="s">
        <v>1480</v>
      </c>
      <c r="H374" s="54"/>
      <c r="I374" s="57"/>
      <c r="J374" s="60" t="s">
        <v>1481</v>
      </c>
    </row>
    <row r="375">
      <c r="A375" s="33"/>
      <c r="B375" s="33"/>
      <c r="C375" s="12"/>
      <c r="D375" s="12"/>
      <c r="E375" s="61"/>
      <c r="F375" s="14"/>
      <c r="G375" s="12"/>
      <c r="H375" s="12"/>
      <c r="I375" s="15"/>
      <c r="J375" s="15"/>
    </row>
    <row r="376">
      <c r="A376" s="50" t="s">
        <v>1241</v>
      </c>
      <c r="B376" s="50" t="s">
        <v>1482</v>
      </c>
      <c r="C376" s="54" t="s">
        <v>1483</v>
      </c>
      <c r="D376" s="54" t="s">
        <v>483</v>
      </c>
      <c r="E376" s="60" t="s">
        <v>1484</v>
      </c>
      <c r="F376" s="53">
        <f t="shared" ref="F376:F385" si="21">counta(I376:J376)</f>
        <v>1</v>
      </c>
      <c r="G376" s="54" t="s">
        <v>1485</v>
      </c>
      <c r="H376" s="54"/>
      <c r="I376" s="55"/>
      <c r="J376" s="55" t="s">
        <v>1486</v>
      </c>
    </row>
    <row r="377">
      <c r="A377" s="50"/>
      <c r="B377" s="50" t="s">
        <v>1482</v>
      </c>
      <c r="C377" s="54" t="s">
        <v>1487</v>
      </c>
      <c r="D377" s="54" t="s">
        <v>26</v>
      </c>
      <c r="E377" s="60" t="s">
        <v>1488</v>
      </c>
      <c r="F377" s="53">
        <f t="shared" si="21"/>
        <v>1</v>
      </c>
      <c r="G377" s="54" t="s">
        <v>1489</v>
      </c>
      <c r="H377" s="54"/>
      <c r="I377" s="55"/>
      <c r="J377" s="55" t="s">
        <v>1490</v>
      </c>
    </row>
    <row r="378">
      <c r="A378" s="50"/>
      <c r="B378" s="50" t="s">
        <v>1482</v>
      </c>
      <c r="C378" s="54" t="s">
        <v>1491</v>
      </c>
      <c r="D378" s="54" t="s">
        <v>483</v>
      </c>
      <c r="E378" s="55" t="s">
        <v>1492</v>
      </c>
      <c r="F378" s="53">
        <f t="shared" si="21"/>
        <v>1</v>
      </c>
      <c r="G378" s="54" t="s">
        <v>1493</v>
      </c>
      <c r="H378" s="54"/>
      <c r="I378" s="55"/>
      <c r="J378" s="55" t="s">
        <v>1494</v>
      </c>
    </row>
    <row r="379">
      <c r="A379" s="50"/>
      <c r="B379" s="50" t="s">
        <v>1482</v>
      </c>
      <c r="C379" s="54" t="s">
        <v>1495</v>
      </c>
      <c r="D379" s="54" t="s">
        <v>26</v>
      </c>
      <c r="E379" s="55" t="s">
        <v>1496</v>
      </c>
      <c r="F379" s="53">
        <f t="shared" si="21"/>
        <v>1</v>
      </c>
      <c r="G379" s="54" t="s">
        <v>1497</v>
      </c>
      <c r="H379" s="54"/>
      <c r="I379" s="55"/>
      <c r="J379" s="55" t="s">
        <v>1498</v>
      </c>
    </row>
    <row r="380">
      <c r="A380" s="50"/>
      <c r="B380" s="50" t="s">
        <v>1482</v>
      </c>
      <c r="C380" s="54" t="s">
        <v>1499</v>
      </c>
      <c r="D380" s="54" t="s">
        <v>483</v>
      </c>
      <c r="E380" s="55" t="s">
        <v>1500</v>
      </c>
      <c r="F380" s="53">
        <f t="shared" si="21"/>
        <v>1</v>
      </c>
      <c r="G380" s="54" t="s">
        <v>1501</v>
      </c>
      <c r="H380" s="54"/>
      <c r="I380" s="55"/>
      <c r="J380" s="55" t="s">
        <v>1502</v>
      </c>
    </row>
    <row r="381">
      <c r="A381" s="50"/>
      <c r="B381" s="50" t="s">
        <v>1482</v>
      </c>
      <c r="C381" s="54" t="s">
        <v>1503</v>
      </c>
      <c r="D381" s="54" t="s">
        <v>26</v>
      </c>
      <c r="E381" s="55" t="s">
        <v>1504</v>
      </c>
      <c r="F381" s="53">
        <f t="shared" si="21"/>
        <v>1</v>
      </c>
      <c r="G381" s="54" t="s">
        <v>1505</v>
      </c>
      <c r="H381" s="54"/>
      <c r="I381" s="55"/>
      <c r="J381" s="55" t="s">
        <v>1506</v>
      </c>
    </row>
    <row r="382">
      <c r="A382" s="50"/>
      <c r="B382" s="50" t="s">
        <v>1482</v>
      </c>
      <c r="C382" s="54" t="s">
        <v>1507</v>
      </c>
      <c r="D382" s="54" t="s">
        <v>483</v>
      </c>
      <c r="E382" s="55" t="s">
        <v>1508</v>
      </c>
      <c r="F382" s="53">
        <f t="shared" si="21"/>
        <v>1</v>
      </c>
      <c r="G382" s="54" t="s">
        <v>1509</v>
      </c>
      <c r="H382" s="54"/>
      <c r="I382" s="55"/>
      <c r="J382" s="55" t="s">
        <v>1510</v>
      </c>
    </row>
    <row r="383">
      <c r="A383" s="50"/>
      <c r="B383" s="50" t="s">
        <v>1482</v>
      </c>
      <c r="C383" s="54" t="s">
        <v>1511</v>
      </c>
      <c r="D383" s="54" t="s">
        <v>26</v>
      </c>
      <c r="E383" s="55" t="s">
        <v>1512</v>
      </c>
      <c r="F383" s="53">
        <f t="shared" si="21"/>
        <v>1</v>
      </c>
      <c r="G383" s="54" t="s">
        <v>1513</v>
      </c>
      <c r="H383" s="54"/>
      <c r="I383" s="55"/>
      <c r="J383" s="55" t="s">
        <v>1514</v>
      </c>
    </row>
    <row r="384">
      <c r="A384" s="50"/>
      <c r="B384" s="50" t="s">
        <v>1482</v>
      </c>
      <c r="C384" s="54" t="s">
        <v>1515</v>
      </c>
      <c r="D384" s="54" t="s">
        <v>483</v>
      </c>
      <c r="E384" s="60" t="s">
        <v>1516</v>
      </c>
      <c r="F384" s="53">
        <f t="shared" si="21"/>
        <v>1</v>
      </c>
      <c r="G384" s="54" t="s">
        <v>1517</v>
      </c>
      <c r="H384" s="54"/>
      <c r="I384" s="55"/>
      <c r="J384" s="55" t="s">
        <v>1518</v>
      </c>
    </row>
    <row r="385">
      <c r="A385" s="50"/>
      <c r="B385" s="50" t="s">
        <v>1482</v>
      </c>
      <c r="C385" s="54" t="s">
        <v>1519</v>
      </c>
      <c r="D385" s="54" t="s">
        <v>26</v>
      </c>
      <c r="E385" s="60" t="s">
        <v>1520</v>
      </c>
      <c r="F385" s="53">
        <f t="shared" si="21"/>
        <v>1</v>
      </c>
      <c r="G385" s="54" t="s">
        <v>1521</v>
      </c>
      <c r="H385" s="54"/>
      <c r="I385" s="55"/>
      <c r="J385" s="55" t="s">
        <v>1522</v>
      </c>
    </row>
    <row r="386">
      <c r="A386" s="33"/>
      <c r="B386" s="33"/>
      <c r="C386" s="12"/>
      <c r="D386" s="12"/>
      <c r="E386" s="61"/>
      <c r="F386" s="14"/>
      <c r="G386" s="12"/>
      <c r="H386" s="12"/>
      <c r="I386" s="15"/>
      <c r="J386" s="15"/>
    </row>
    <row r="387">
      <c r="A387" s="50" t="s">
        <v>1241</v>
      </c>
      <c r="B387" s="50" t="s">
        <v>1482</v>
      </c>
      <c r="C387" s="54" t="s">
        <v>1523</v>
      </c>
      <c r="D387" s="54" t="s">
        <v>483</v>
      </c>
      <c r="E387" s="60" t="s">
        <v>1524</v>
      </c>
      <c r="F387" s="53">
        <f t="shared" ref="F387:F408" si="22">counta(I387:J387)</f>
        <v>2</v>
      </c>
      <c r="G387" s="54" t="s">
        <v>1525</v>
      </c>
      <c r="H387" s="54"/>
      <c r="I387" s="55" t="s">
        <v>1526</v>
      </c>
      <c r="J387" s="55" t="s">
        <v>1527</v>
      </c>
    </row>
    <row r="388">
      <c r="A388" s="50"/>
      <c r="B388" s="50" t="s">
        <v>1482</v>
      </c>
      <c r="C388" s="54" t="s">
        <v>1528</v>
      </c>
      <c r="D388" s="54" t="s">
        <v>26</v>
      </c>
      <c r="E388" s="60" t="s">
        <v>1529</v>
      </c>
      <c r="F388" s="53">
        <f t="shared" si="22"/>
        <v>2</v>
      </c>
      <c r="G388" s="54" t="s">
        <v>1530</v>
      </c>
      <c r="H388" s="54"/>
      <c r="I388" s="60" t="s">
        <v>1531</v>
      </c>
      <c r="J388" s="55" t="s">
        <v>1532</v>
      </c>
    </row>
    <row r="389">
      <c r="A389" s="50"/>
      <c r="B389" s="50" t="s">
        <v>1482</v>
      </c>
      <c r="C389" s="54" t="s">
        <v>1533</v>
      </c>
      <c r="D389" s="54" t="s">
        <v>483</v>
      </c>
      <c r="E389" s="55" t="s">
        <v>1534</v>
      </c>
      <c r="F389" s="53">
        <f t="shared" si="22"/>
        <v>2</v>
      </c>
      <c r="G389" s="54" t="s">
        <v>1535</v>
      </c>
      <c r="H389" s="54"/>
      <c r="I389" s="55" t="s">
        <v>1536</v>
      </c>
      <c r="J389" s="60" t="s">
        <v>1537</v>
      </c>
    </row>
    <row r="390">
      <c r="A390" s="50"/>
      <c r="B390" s="50" t="s">
        <v>1482</v>
      </c>
      <c r="C390" s="54" t="s">
        <v>1538</v>
      </c>
      <c r="D390" s="54" t="s">
        <v>26</v>
      </c>
      <c r="E390" s="55" t="s">
        <v>1539</v>
      </c>
      <c r="F390" s="53">
        <f t="shared" si="22"/>
        <v>2</v>
      </c>
      <c r="G390" s="54" t="s">
        <v>1540</v>
      </c>
      <c r="H390" s="54"/>
      <c r="I390" s="55" t="s">
        <v>1541</v>
      </c>
      <c r="J390" s="60" t="s">
        <v>1542</v>
      </c>
    </row>
    <row r="391">
      <c r="A391" s="50"/>
      <c r="B391" s="50" t="s">
        <v>1482</v>
      </c>
      <c r="C391" s="54" t="s">
        <v>1543</v>
      </c>
      <c r="D391" s="54" t="s">
        <v>483</v>
      </c>
      <c r="E391" s="55" t="s">
        <v>1544</v>
      </c>
      <c r="F391" s="53">
        <f t="shared" si="22"/>
        <v>2</v>
      </c>
      <c r="G391" s="54" t="s">
        <v>1545</v>
      </c>
      <c r="H391" s="54"/>
      <c r="I391" s="60" t="s">
        <v>1546</v>
      </c>
      <c r="J391" s="55" t="s">
        <v>1547</v>
      </c>
    </row>
    <row r="392">
      <c r="A392" s="50"/>
      <c r="B392" s="50" t="s">
        <v>1482</v>
      </c>
      <c r="C392" s="54" t="s">
        <v>1548</v>
      </c>
      <c r="D392" s="54" t="s">
        <v>26</v>
      </c>
      <c r="E392" s="55" t="s">
        <v>1549</v>
      </c>
      <c r="F392" s="53">
        <f t="shared" si="22"/>
        <v>2</v>
      </c>
      <c r="G392" s="54" t="s">
        <v>1550</v>
      </c>
      <c r="H392" s="54"/>
      <c r="I392" s="60" t="s">
        <v>1551</v>
      </c>
      <c r="J392" s="55" t="s">
        <v>1552</v>
      </c>
    </row>
    <row r="393">
      <c r="A393" s="50"/>
      <c r="B393" s="50" t="s">
        <v>1482</v>
      </c>
      <c r="C393" s="54" t="s">
        <v>1553</v>
      </c>
      <c r="D393" s="54" t="s">
        <v>483</v>
      </c>
      <c r="E393" s="60" t="s">
        <v>1554</v>
      </c>
      <c r="F393" s="53">
        <f t="shared" si="22"/>
        <v>2</v>
      </c>
      <c r="G393" s="54" t="s">
        <v>1555</v>
      </c>
      <c r="H393" s="54"/>
      <c r="I393" s="60" t="s">
        <v>1556</v>
      </c>
      <c r="J393" s="55" t="s">
        <v>1557</v>
      </c>
    </row>
    <row r="394">
      <c r="A394" s="50"/>
      <c r="B394" s="50" t="s">
        <v>1482</v>
      </c>
      <c r="C394" s="54" t="s">
        <v>1558</v>
      </c>
      <c r="D394" s="54" t="s">
        <v>26</v>
      </c>
      <c r="E394" s="60" t="s">
        <v>1559</v>
      </c>
      <c r="F394" s="53">
        <f t="shared" si="22"/>
        <v>2</v>
      </c>
      <c r="G394" s="54" t="s">
        <v>1560</v>
      </c>
      <c r="H394" s="54"/>
      <c r="I394" s="60" t="s">
        <v>1561</v>
      </c>
      <c r="J394" s="55" t="s">
        <v>1562</v>
      </c>
    </row>
    <row r="395">
      <c r="A395" s="50"/>
      <c r="B395" s="50" t="s">
        <v>1482</v>
      </c>
      <c r="C395" s="54" t="s">
        <v>1563</v>
      </c>
      <c r="D395" s="54" t="s">
        <v>483</v>
      </c>
      <c r="E395" s="55" t="s">
        <v>1564</v>
      </c>
      <c r="F395" s="53">
        <f t="shared" si="22"/>
        <v>2</v>
      </c>
      <c r="G395" s="54" t="s">
        <v>1565</v>
      </c>
      <c r="H395" s="54"/>
      <c r="I395" s="60" t="s">
        <v>1566</v>
      </c>
      <c r="J395" s="55" t="s">
        <v>1567</v>
      </c>
    </row>
    <row r="396">
      <c r="A396" s="50"/>
      <c r="B396" s="50" t="s">
        <v>1482</v>
      </c>
      <c r="C396" s="54" t="s">
        <v>1568</v>
      </c>
      <c r="D396" s="54" t="s">
        <v>26</v>
      </c>
      <c r="E396" s="55" t="s">
        <v>1569</v>
      </c>
      <c r="F396" s="53">
        <f t="shared" si="22"/>
        <v>2</v>
      </c>
      <c r="G396" s="54" t="s">
        <v>1570</v>
      </c>
      <c r="H396" s="54"/>
      <c r="I396" s="60" t="s">
        <v>1571</v>
      </c>
      <c r="J396" s="55" t="s">
        <v>1572</v>
      </c>
    </row>
    <row r="397">
      <c r="A397" s="50"/>
      <c r="B397" s="50" t="s">
        <v>1482</v>
      </c>
      <c r="C397" s="54" t="s">
        <v>1573</v>
      </c>
      <c r="D397" s="54" t="s">
        <v>483</v>
      </c>
      <c r="E397" s="55" t="s">
        <v>1574</v>
      </c>
      <c r="F397" s="53">
        <f t="shared" si="22"/>
        <v>2</v>
      </c>
      <c r="G397" s="54" t="s">
        <v>1575</v>
      </c>
      <c r="H397" s="54"/>
      <c r="I397" s="60" t="s">
        <v>1576</v>
      </c>
      <c r="J397" s="55" t="s">
        <v>1577</v>
      </c>
    </row>
    <row r="398">
      <c r="A398" s="50"/>
      <c r="B398" s="50" t="s">
        <v>1482</v>
      </c>
      <c r="C398" s="54" t="s">
        <v>1578</v>
      </c>
      <c r="D398" s="54" t="s">
        <v>26</v>
      </c>
      <c r="E398" s="55" t="s">
        <v>1579</v>
      </c>
      <c r="F398" s="53">
        <f t="shared" si="22"/>
        <v>2</v>
      </c>
      <c r="G398" s="54" t="s">
        <v>1580</v>
      </c>
      <c r="H398" s="54"/>
      <c r="I398" s="60" t="s">
        <v>1581</v>
      </c>
      <c r="J398" s="55" t="s">
        <v>1582</v>
      </c>
    </row>
    <row r="399">
      <c r="A399" s="50"/>
      <c r="B399" s="50" t="s">
        <v>1482</v>
      </c>
      <c r="C399" s="54" t="s">
        <v>1583</v>
      </c>
      <c r="D399" s="54" t="s">
        <v>483</v>
      </c>
      <c r="E399" s="55" t="s">
        <v>1584</v>
      </c>
      <c r="F399" s="53">
        <f t="shared" si="22"/>
        <v>2</v>
      </c>
      <c r="G399" s="54" t="s">
        <v>1585</v>
      </c>
      <c r="H399" s="54"/>
      <c r="I399" s="60" t="s">
        <v>1586</v>
      </c>
      <c r="J399" s="55" t="s">
        <v>1587</v>
      </c>
    </row>
    <row r="400">
      <c r="A400" s="50"/>
      <c r="B400" s="50" t="s">
        <v>1482</v>
      </c>
      <c r="C400" s="54" t="s">
        <v>1588</v>
      </c>
      <c r="D400" s="54" t="s">
        <v>26</v>
      </c>
      <c r="E400" s="55" t="s">
        <v>1589</v>
      </c>
      <c r="F400" s="53">
        <f t="shared" si="22"/>
        <v>2</v>
      </c>
      <c r="G400" s="54" t="s">
        <v>1590</v>
      </c>
      <c r="H400" s="54"/>
      <c r="I400" s="60" t="s">
        <v>1591</v>
      </c>
      <c r="J400" s="55" t="s">
        <v>1592</v>
      </c>
    </row>
    <row r="401">
      <c r="A401" s="50"/>
      <c r="B401" s="50" t="s">
        <v>1482</v>
      </c>
      <c r="C401" s="54" t="s">
        <v>1593</v>
      </c>
      <c r="D401" s="54" t="s">
        <v>483</v>
      </c>
      <c r="E401" s="55" t="s">
        <v>1594</v>
      </c>
      <c r="F401" s="53">
        <f t="shared" si="22"/>
        <v>2</v>
      </c>
      <c r="G401" s="54" t="s">
        <v>1595</v>
      </c>
      <c r="H401" s="54"/>
      <c r="I401" s="60" t="s">
        <v>1596</v>
      </c>
      <c r="J401" s="55" t="s">
        <v>1597</v>
      </c>
    </row>
    <row r="402">
      <c r="A402" s="50"/>
      <c r="B402" s="50" t="s">
        <v>1482</v>
      </c>
      <c r="C402" s="54" t="s">
        <v>1598</v>
      </c>
      <c r="D402" s="54" t="s">
        <v>26</v>
      </c>
      <c r="E402" s="55" t="s">
        <v>1599</v>
      </c>
      <c r="F402" s="53">
        <f t="shared" si="22"/>
        <v>2</v>
      </c>
      <c r="G402" s="54" t="s">
        <v>1600</v>
      </c>
      <c r="H402" s="54"/>
      <c r="I402" s="60" t="s">
        <v>1601</v>
      </c>
      <c r="J402" s="55" t="s">
        <v>1602</v>
      </c>
    </row>
    <row r="403">
      <c r="A403" s="50"/>
      <c r="B403" s="50" t="s">
        <v>1482</v>
      </c>
      <c r="C403" s="54" t="s">
        <v>1603</v>
      </c>
      <c r="D403" s="54" t="s">
        <v>483</v>
      </c>
      <c r="E403" s="55" t="s">
        <v>1604</v>
      </c>
      <c r="F403" s="53">
        <f t="shared" si="22"/>
        <v>1</v>
      </c>
      <c r="G403" s="54" t="s">
        <v>1605</v>
      </c>
      <c r="H403" s="54"/>
      <c r="I403" s="55"/>
      <c r="J403" s="55" t="s">
        <v>1606</v>
      </c>
    </row>
    <row r="404">
      <c r="A404" s="50"/>
      <c r="B404" s="50" t="s">
        <v>1482</v>
      </c>
      <c r="C404" s="54" t="s">
        <v>1607</v>
      </c>
      <c r="D404" s="54" t="s">
        <v>26</v>
      </c>
      <c r="E404" s="55" t="s">
        <v>1608</v>
      </c>
      <c r="F404" s="53">
        <f t="shared" si="22"/>
        <v>1</v>
      </c>
      <c r="G404" s="54" t="s">
        <v>1609</v>
      </c>
      <c r="H404" s="54"/>
      <c r="I404" s="55"/>
      <c r="J404" s="55" t="s">
        <v>1610</v>
      </c>
    </row>
    <row r="405">
      <c r="A405" s="50"/>
      <c r="B405" s="50" t="s">
        <v>1482</v>
      </c>
      <c r="C405" s="54" t="s">
        <v>1611</v>
      </c>
      <c r="D405" s="54" t="s">
        <v>483</v>
      </c>
      <c r="E405" s="55" t="s">
        <v>1612</v>
      </c>
      <c r="F405" s="53">
        <f t="shared" si="22"/>
        <v>1</v>
      </c>
      <c r="G405" s="54" t="s">
        <v>1613</v>
      </c>
      <c r="H405" s="54"/>
      <c r="I405" s="55"/>
      <c r="J405" s="55" t="s">
        <v>1614</v>
      </c>
    </row>
    <row r="406">
      <c r="A406" s="50"/>
      <c r="B406" s="50" t="s">
        <v>1482</v>
      </c>
      <c r="C406" s="54" t="s">
        <v>1615</v>
      </c>
      <c r="D406" s="54" t="s">
        <v>26</v>
      </c>
      <c r="E406" s="55" t="s">
        <v>1616</v>
      </c>
      <c r="F406" s="53">
        <f t="shared" si="22"/>
        <v>1</v>
      </c>
      <c r="G406" s="54" t="s">
        <v>1617</v>
      </c>
      <c r="H406" s="54"/>
      <c r="I406" s="55"/>
      <c r="J406" s="55" t="s">
        <v>1618</v>
      </c>
    </row>
    <row r="407">
      <c r="A407" s="50"/>
      <c r="B407" s="50" t="s">
        <v>1482</v>
      </c>
      <c r="C407" s="54" t="s">
        <v>1619</v>
      </c>
      <c r="D407" s="54" t="s">
        <v>483</v>
      </c>
      <c r="E407" s="60" t="s">
        <v>1620</v>
      </c>
      <c r="F407" s="53">
        <f t="shared" si="22"/>
        <v>1</v>
      </c>
      <c r="G407" s="54" t="s">
        <v>1621</v>
      </c>
      <c r="H407" s="54"/>
      <c r="I407" s="55"/>
      <c r="J407" s="55" t="s">
        <v>1622</v>
      </c>
    </row>
    <row r="408">
      <c r="A408" s="50"/>
      <c r="B408" s="50" t="s">
        <v>1482</v>
      </c>
      <c r="C408" s="54" t="s">
        <v>1623</v>
      </c>
      <c r="D408" s="54" t="s">
        <v>26</v>
      </c>
      <c r="E408" s="60" t="s">
        <v>1624</v>
      </c>
      <c r="F408" s="53">
        <f t="shared" si="22"/>
        <v>1</v>
      </c>
      <c r="G408" s="54" t="s">
        <v>1625</v>
      </c>
      <c r="H408" s="54"/>
      <c r="I408" s="55"/>
      <c r="J408" s="55" t="s">
        <v>1626</v>
      </c>
    </row>
    <row r="409">
      <c r="A409" s="33"/>
      <c r="B409" s="33"/>
      <c r="C409" s="12"/>
      <c r="D409" s="12"/>
      <c r="E409" s="61"/>
      <c r="F409" s="14"/>
      <c r="G409" s="12"/>
      <c r="H409" s="12"/>
      <c r="I409" s="15"/>
      <c r="J409" s="15"/>
    </row>
    <row r="410">
      <c r="A410" s="50" t="s">
        <v>1241</v>
      </c>
      <c r="B410" s="50" t="s">
        <v>1482</v>
      </c>
      <c r="C410" s="54" t="s">
        <v>1627</v>
      </c>
      <c r="D410" s="54" t="s">
        <v>483</v>
      </c>
      <c r="E410" s="60" t="s">
        <v>1628</v>
      </c>
      <c r="F410" s="53">
        <f t="shared" ref="F410:F435" si="23">counta(I410:J410)</f>
        <v>2</v>
      </c>
      <c r="G410" s="54" t="s">
        <v>1629</v>
      </c>
      <c r="H410" s="54"/>
      <c r="I410" s="55" t="s">
        <v>1630</v>
      </c>
      <c r="J410" s="55" t="s">
        <v>1631</v>
      </c>
    </row>
    <row r="411">
      <c r="A411" s="50"/>
      <c r="B411" s="50" t="s">
        <v>1482</v>
      </c>
      <c r="C411" s="54" t="s">
        <v>1632</v>
      </c>
      <c r="D411" s="54" t="s">
        <v>26</v>
      </c>
      <c r="E411" s="60" t="s">
        <v>1633</v>
      </c>
      <c r="F411" s="53">
        <f t="shared" si="23"/>
        <v>2</v>
      </c>
      <c r="G411" s="54" t="s">
        <v>1634</v>
      </c>
      <c r="H411" s="54"/>
      <c r="I411" s="60" t="s">
        <v>1635</v>
      </c>
      <c r="J411" s="55" t="s">
        <v>1636</v>
      </c>
    </row>
    <row r="412">
      <c r="A412" s="50"/>
      <c r="B412" s="50" t="s">
        <v>1482</v>
      </c>
      <c r="C412" s="54" t="s">
        <v>1637</v>
      </c>
      <c r="D412" s="54" t="s">
        <v>483</v>
      </c>
      <c r="E412" s="60" t="s">
        <v>1638</v>
      </c>
      <c r="F412" s="53">
        <f t="shared" si="23"/>
        <v>2</v>
      </c>
      <c r="G412" s="54" t="s">
        <v>1639</v>
      </c>
      <c r="H412" s="54"/>
      <c r="I412" s="55" t="s">
        <v>1640</v>
      </c>
      <c r="J412" s="55" t="s">
        <v>1641</v>
      </c>
    </row>
    <row r="413">
      <c r="A413" s="50"/>
      <c r="B413" s="50" t="s">
        <v>1482</v>
      </c>
      <c r="C413" s="54" t="s">
        <v>1642</v>
      </c>
      <c r="D413" s="54" t="s">
        <v>26</v>
      </c>
      <c r="E413" s="60" t="s">
        <v>1643</v>
      </c>
      <c r="F413" s="53">
        <f t="shared" si="23"/>
        <v>2</v>
      </c>
      <c r="G413" s="54" t="s">
        <v>1644</v>
      </c>
      <c r="H413" s="54"/>
      <c r="I413" s="60" t="s">
        <v>1645</v>
      </c>
      <c r="J413" s="55" t="s">
        <v>1646</v>
      </c>
    </row>
    <row r="414">
      <c r="A414" s="50"/>
      <c r="B414" s="50" t="s">
        <v>1482</v>
      </c>
      <c r="C414" s="54" t="s">
        <v>1647</v>
      </c>
      <c r="D414" s="54" t="s">
        <v>483</v>
      </c>
      <c r="E414" s="55" t="s">
        <v>1648</v>
      </c>
      <c r="F414" s="53">
        <f t="shared" si="23"/>
        <v>2</v>
      </c>
      <c r="G414" s="54" t="s">
        <v>1649</v>
      </c>
      <c r="H414" s="54"/>
      <c r="I414" s="60" t="s">
        <v>1650</v>
      </c>
      <c r="J414" s="55" t="s">
        <v>1651</v>
      </c>
    </row>
    <row r="415">
      <c r="A415" s="50"/>
      <c r="B415" s="50" t="s">
        <v>1482</v>
      </c>
      <c r="C415" s="54" t="s">
        <v>1652</v>
      </c>
      <c r="D415" s="54" t="s">
        <v>26</v>
      </c>
      <c r="E415" s="55" t="s">
        <v>1653</v>
      </c>
      <c r="F415" s="53">
        <f t="shared" si="23"/>
        <v>2</v>
      </c>
      <c r="G415" s="54" t="s">
        <v>1654</v>
      </c>
      <c r="H415" s="54"/>
      <c r="I415" s="60" t="s">
        <v>1655</v>
      </c>
      <c r="J415" s="55" t="s">
        <v>1656</v>
      </c>
    </row>
    <row r="416">
      <c r="A416" s="50"/>
      <c r="B416" s="50" t="s">
        <v>1482</v>
      </c>
      <c r="C416" s="54" t="s">
        <v>1657</v>
      </c>
      <c r="D416" s="54" t="s">
        <v>483</v>
      </c>
      <c r="E416" s="60" t="s">
        <v>1658</v>
      </c>
      <c r="F416" s="53">
        <f t="shared" si="23"/>
        <v>2</v>
      </c>
      <c r="G416" s="54" t="s">
        <v>1659</v>
      </c>
      <c r="H416" s="54"/>
      <c r="I416" s="60" t="s">
        <v>1660</v>
      </c>
      <c r="J416" s="55" t="s">
        <v>1661</v>
      </c>
    </row>
    <row r="417">
      <c r="A417" s="50"/>
      <c r="B417" s="50" t="s">
        <v>1482</v>
      </c>
      <c r="C417" s="54" t="s">
        <v>1662</v>
      </c>
      <c r="D417" s="54" t="s">
        <v>26</v>
      </c>
      <c r="E417" s="60" t="s">
        <v>1663</v>
      </c>
      <c r="F417" s="53">
        <f t="shared" si="23"/>
        <v>2</v>
      </c>
      <c r="G417" s="54" t="s">
        <v>1664</v>
      </c>
      <c r="H417" s="54"/>
      <c r="I417" s="60" t="s">
        <v>1665</v>
      </c>
      <c r="J417" s="55" t="s">
        <v>1666</v>
      </c>
    </row>
    <row r="418">
      <c r="A418" s="50"/>
      <c r="B418" s="50" t="s">
        <v>1482</v>
      </c>
      <c r="C418" s="54" t="s">
        <v>1667</v>
      </c>
      <c r="D418" s="54" t="s">
        <v>483</v>
      </c>
      <c r="E418" s="55" t="s">
        <v>1668</v>
      </c>
      <c r="F418" s="53">
        <f t="shared" si="23"/>
        <v>2</v>
      </c>
      <c r="G418" s="54" t="s">
        <v>1669</v>
      </c>
      <c r="H418" s="54"/>
      <c r="I418" s="60" t="s">
        <v>1670</v>
      </c>
      <c r="J418" s="55" t="s">
        <v>1671</v>
      </c>
    </row>
    <row r="419">
      <c r="A419" s="50"/>
      <c r="B419" s="50" t="s">
        <v>1482</v>
      </c>
      <c r="C419" s="54" t="s">
        <v>1672</v>
      </c>
      <c r="D419" s="54" t="s">
        <v>26</v>
      </c>
      <c r="E419" s="55" t="s">
        <v>1673</v>
      </c>
      <c r="F419" s="53">
        <f t="shared" si="23"/>
        <v>2</v>
      </c>
      <c r="G419" s="54" t="s">
        <v>1674</v>
      </c>
      <c r="H419" s="54"/>
      <c r="I419" s="60" t="s">
        <v>1675</v>
      </c>
      <c r="J419" s="55" t="s">
        <v>1676</v>
      </c>
    </row>
    <row r="420">
      <c r="A420" s="50"/>
      <c r="B420" s="50" t="s">
        <v>1482</v>
      </c>
      <c r="C420" s="54" t="s">
        <v>1677</v>
      </c>
      <c r="D420" s="54" t="s">
        <v>483</v>
      </c>
      <c r="E420" s="55" t="s">
        <v>1678</v>
      </c>
      <c r="F420" s="53">
        <f t="shared" si="23"/>
        <v>2</v>
      </c>
      <c r="G420" s="54" t="s">
        <v>1679</v>
      </c>
      <c r="H420" s="54"/>
      <c r="I420" s="60" t="s">
        <v>1680</v>
      </c>
      <c r="J420" s="55" t="s">
        <v>1681</v>
      </c>
    </row>
    <row r="421">
      <c r="A421" s="50"/>
      <c r="B421" s="50" t="s">
        <v>1482</v>
      </c>
      <c r="C421" s="54" t="s">
        <v>1682</v>
      </c>
      <c r="D421" s="54" t="s">
        <v>26</v>
      </c>
      <c r="E421" s="55" t="s">
        <v>1683</v>
      </c>
      <c r="F421" s="53">
        <f t="shared" si="23"/>
        <v>2</v>
      </c>
      <c r="G421" s="54" t="s">
        <v>1684</v>
      </c>
      <c r="H421" s="54"/>
      <c r="I421" s="60" t="s">
        <v>1685</v>
      </c>
      <c r="J421" s="55" t="s">
        <v>1686</v>
      </c>
    </row>
    <row r="422">
      <c r="A422" s="50"/>
      <c r="B422" s="50" t="s">
        <v>1482</v>
      </c>
      <c r="C422" s="54" t="s">
        <v>1687</v>
      </c>
      <c r="D422" s="54" t="s">
        <v>483</v>
      </c>
      <c r="E422" s="55" t="s">
        <v>1688</v>
      </c>
      <c r="F422" s="53">
        <f t="shared" si="23"/>
        <v>2</v>
      </c>
      <c r="G422" s="54" t="s">
        <v>1689</v>
      </c>
      <c r="H422" s="54"/>
      <c r="I422" s="60" t="s">
        <v>1690</v>
      </c>
      <c r="J422" s="55" t="s">
        <v>1691</v>
      </c>
    </row>
    <row r="423">
      <c r="A423" s="50"/>
      <c r="B423" s="50" t="s">
        <v>1482</v>
      </c>
      <c r="C423" s="54" t="s">
        <v>1692</v>
      </c>
      <c r="D423" s="54" t="s">
        <v>26</v>
      </c>
      <c r="E423" s="55" t="s">
        <v>1693</v>
      </c>
      <c r="F423" s="53">
        <f t="shared" si="23"/>
        <v>2</v>
      </c>
      <c r="G423" s="54" t="s">
        <v>1694</v>
      </c>
      <c r="H423" s="54"/>
      <c r="I423" s="60" t="s">
        <v>1695</v>
      </c>
      <c r="J423" s="55" t="s">
        <v>1696</v>
      </c>
    </row>
    <row r="424">
      <c r="A424" s="50"/>
      <c r="B424" s="50" t="s">
        <v>1482</v>
      </c>
      <c r="C424" s="54" t="s">
        <v>1697</v>
      </c>
      <c r="D424" s="54" t="s">
        <v>483</v>
      </c>
      <c r="E424" s="55" t="s">
        <v>1698</v>
      </c>
      <c r="F424" s="53">
        <f t="shared" si="23"/>
        <v>2</v>
      </c>
      <c r="G424" s="54" t="s">
        <v>1699</v>
      </c>
      <c r="H424" s="54"/>
      <c r="I424" s="60" t="s">
        <v>1700</v>
      </c>
      <c r="J424" s="55" t="s">
        <v>1701</v>
      </c>
    </row>
    <row r="425">
      <c r="A425" s="50"/>
      <c r="B425" s="50" t="s">
        <v>1482</v>
      </c>
      <c r="C425" s="54" t="s">
        <v>1702</v>
      </c>
      <c r="D425" s="54" t="s">
        <v>26</v>
      </c>
      <c r="E425" s="55" t="s">
        <v>1703</v>
      </c>
      <c r="F425" s="53">
        <f t="shared" si="23"/>
        <v>2</v>
      </c>
      <c r="G425" s="54" t="s">
        <v>1704</v>
      </c>
      <c r="H425" s="54"/>
      <c r="I425" s="60" t="s">
        <v>1705</v>
      </c>
      <c r="J425" s="55" t="s">
        <v>1706</v>
      </c>
    </row>
    <row r="426">
      <c r="A426" s="50"/>
      <c r="B426" s="50" t="s">
        <v>1482</v>
      </c>
      <c r="C426" s="54" t="s">
        <v>1707</v>
      </c>
      <c r="D426" s="54" t="s">
        <v>483</v>
      </c>
      <c r="E426" s="55" t="s">
        <v>1708</v>
      </c>
      <c r="F426" s="53">
        <f t="shared" si="23"/>
        <v>1</v>
      </c>
      <c r="G426" s="54" t="s">
        <v>1709</v>
      </c>
      <c r="H426" s="54"/>
      <c r="I426" s="60"/>
      <c r="J426" s="55" t="s">
        <v>1710</v>
      </c>
    </row>
    <row r="427">
      <c r="A427" s="50"/>
      <c r="B427" s="50" t="s">
        <v>1482</v>
      </c>
      <c r="C427" s="54" t="s">
        <v>1711</v>
      </c>
      <c r="D427" s="54" t="s">
        <v>26</v>
      </c>
      <c r="E427" s="55" t="s">
        <v>1712</v>
      </c>
      <c r="F427" s="53">
        <f t="shared" si="23"/>
        <v>1</v>
      </c>
      <c r="G427" s="54" t="s">
        <v>1713</v>
      </c>
      <c r="H427" s="54"/>
      <c r="I427" s="60"/>
      <c r="J427" s="55" t="s">
        <v>1714</v>
      </c>
    </row>
    <row r="428">
      <c r="A428" s="50"/>
      <c r="B428" s="50" t="s">
        <v>1482</v>
      </c>
      <c r="C428" s="54" t="s">
        <v>1715</v>
      </c>
      <c r="D428" s="54" t="s">
        <v>483</v>
      </c>
      <c r="E428" s="55" t="s">
        <v>1716</v>
      </c>
      <c r="F428" s="53">
        <f t="shared" si="23"/>
        <v>1</v>
      </c>
      <c r="G428" s="54" t="s">
        <v>1717</v>
      </c>
      <c r="H428" s="54"/>
      <c r="I428" s="60"/>
      <c r="J428" s="55" t="s">
        <v>1718</v>
      </c>
    </row>
    <row r="429">
      <c r="A429" s="50"/>
      <c r="B429" s="50" t="s">
        <v>1482</v>
      </c>
      <c r="C429" s="54" t="s">
        <v>1719</v>
      </c>
      <c r="D429" s="54" t="s">
        <v>26</v>
      </c>
      <c r="E429" s="55" t="s">
        <v>1720</v>
      </c>
      <c r="F429" s="53">
        <f t="shared" si="23"/>
        <v>1</v>
      </c>
      <c r="G429" s="54" t="s">
        <v>1721</v>
      </c>
      <c r="H429" s="54"/>
      <c r="I429" s="60"/>
      <c r="J429" s="55" t="s">
        <v>1722</v>
      </c>
    </row>
    <row r="430">
      <c r="A430" s="50"/>
      <c r="B430" s="50" t="s">
        <v>1482</v>
      </c>
      <c r="C430" s="54" t="s">
        <v>1723</v>
      </c>
      <c r="D430" s="54" t="s">
        <v>483</v>
      </c>
      <c r="E430" s="55" t="s">
        <v>1724</v>
      </c>
      <c r="F430" s="53">
        <f t="shared" si="23"/>
        <v>2</v>
      </c>
      <c r="G430" s="54" t="s">
        <v>1725</v>
      </c>
      <c r="H430" s="54"/>
      <c r="I430" s="60" t="s">
        <v>1726</v>
      </c>
      <c r="J430" s="55" t="s">
        <v>1727</v>
      </c>
    </row>
    <row r="431">
      <c r="A431" s="50"/>
      <c r="B431" s="50" t="s">
        <v>1482</v>
      </c>
      <c r="C431" s="54" t="s">
        <v>1728</v>
      </c>
      <c r="D431" s="54" t="s">
        <v>26</v>
      </c>
      <c r="E431" s="55" t="s">
        <v>1729</v>
      </c>
      <c r="F431" s="53">
        <f t="shared" si="23"/>
        <v>2</v>
      </c>
      <c r="G431" s="54" t="s">
        <v>1730</v>
      </c>
      <c r="H431" s="54"/>
      <c r="I431" s="60" t="s">
        <v>1731</v>
      </c>
      <c r="J431" s="55" t="s">
        <v>1732</v>
      </c>
    </row>
    <row r="432">
      <c r="A432" s="50"/>
      <c r="B432" s="50" t="s">
        <v>1482</v>
      </c>
      <c r="C432" s="54" t="s">
        <v>1733</v>
      </c>
      <c r="D432" s="54" t="s">
        <v>483</v>
      </c>
      <c r="E432" s="55" t="s">
        <v>1734</v>
      </c>
      <c r="F432" s="53">
        <f t="shared" si="23"/>
        <v>2</v>
      </c>
      <c r="G432" s="54" t="s">
        <v>1735</v>
      </c>
      <c r="H432" s="54"/>
      <c r="I432" s="60" t="s">
        <v>1736</v>
      </c>
      <c r="J432" s="55" t="s">
        <v>1737</v>
      </c>
    </row>
    <row r="433">
      <c r="A433" s="50"/>
      <c r="B433" s="50" t="s">
        <v>1482</v>
      </c>
      <c r="C433" s="54" t="s">
        <v>1738</v>
      </c>
      <c r="D433" s="54" t="s">
        <v>26</v>
      </c>
      <c r="E433" s="55" t="s">
        <v>1739</v>
      </c>
      <c r="F433" s="53">
        <f t="shared" si="23"/>
        <v>2</v>
      </c>
      <c r="G433" s="54" t="s">
        <v>1740</v>
      </c>
      <c r="H433" s="54"/>
      <c r="I433" s="60" t="s">
        <v>1741</v>
      </c>
      <c r="J433" s="55" t="s">
        <v>1742</v>
      </c>
    </row>
    <row r="434">
      <c r="A434" s="50"/>
      <c r="B434" s="50" t="s">
        <v>1482</v>
      </c>
      <c r="C434" s="54" t="s">
        <v>1743</v>
      </c>
      <c r="D434" s="54" t="s">
        <v>483</v>
      </c>
      <c r="E434" s="60" t="s">
        <v>1744</v>
      </c>
      <c r="F434" s="53">
        <f t="shared" si="23"/>
        <v>1</v>
      </c>
      <c r="G434" s="54" t="s">
        <v>1745</v>
      </c>
      <c r="H434" s="54"/>
      <c r="I434" s="55"/>
      <c r="J434" s="55" t="s">
        <v>1746</v>
      </c>
    </row>
    <row r="435">
      <c r="A435" s="50"/>
      <c r="B435" s="50" t="s">
        <v>1482</v>
      </c>
      <c r="C435" s="54" t="s">
        <v>1747</v>
      </c>
      <c r="D435" s="54" t="s">
        <v>26</v>
      </c>
      <c r="E435" s="60" t="s">
        <v>1748</v>
      </c>
      <c r="F435" s="53">
        <f t="shared" si="23"/>
        <v>1</v>
      </c>
      <c r="G435" s="54" t="s">
        <v>1749</v>
      </c>
      <c r="H435" s="54"/>
      <c r="I435" s="55"/>
      <c r="J435" s="55" t="s">
        <v>1750</v>
      </c>
    </row>
    <row r="436">
      <c r="A436" s="33"/>
      <c r="B436" s="33"/>
      <c r="C436" s="12"/>
      <c r="D436" s="12"/>
      <c r="E436" s="15"/>
      <c r="F436" s="14"/>
      <c r="G436" s="12"/>
      <c r="H436" s="12"/>
      <c r="I436" s="15"/>
      <c r="J436" s="15"/>
    </row>
    <row r="437">
      <c r="A437" s="50" t="s">
        <v>1241</v>
      </c>
      <c r="B437" s="50" t="s">
        <v>925</v>
      </c>
      <c r="C437" s="54" t="s">
        <v>1751</v>
      </c>
      <c r="D437" s="54" t="s">
        <v>31</v>
      </c>
      <c r="E437" s="55" t="s">
        <v>1752</v>
      </c>
      <c r="F437" s="53">
        <f t="shared" ref="F437:F452" si="24">counta(I437:J437)</f>
        <v>1</v>
      </c>
      <c r="G437" s="54" t="s">
        <v>1753</v>
      </c>
      <c r="H437" s="54"/>
      <c r="I437" s="55"/>
      <c r="J437" s="55" t="s">
        <v>1754</v>
      </c>
    </row>
    <row r="438">
      <c r="A438" s="50"/>
      <c r="B438" s="50" t="s">
        <v>925</v>
      </c>
      <c r="C438" s="54" t="s">
        <v>1755</v>
      </c>
      <c r="D438" s="54" t="s">
        <v>40</v>
      </c>
      <c r="E438" s="55" t="s">
        <v>1756</v>
      </c>
      <c r="F438" s="53">
        <f t="shared" si="24"/>
        <v>1</v>
      </c>
      <c r="G438" s="54" t="s">
        <v>1757</v>
      </c>
      <c r="H438" s="54"/>
      <c r="I438" s="55" t="s">
        <v>1758</v>
      </c>
      <c r="J438" s="55"/>
    </row>
    <row r="439">
      <c r="A439" s="50"/>
      <c r="B439" s="50" t="s">
        <v>925</v>
      </c>
      <c r="C439" s="54" t="s">
        <v>931</v>
      </c>
      <c r="D439" s="54" t="s">
        <v>931</v>
      </c>
      <c r="E439" s="55" t="s">
        <v>1759</v>
      </c>
      <c r="F439" s="53">
        <f t="shared" si="24"/>
        <v>2</v>
      </c>
      <c r="G439" s="54" t="s">
        <v>1760</v>
      </c>
      <c r="H439" s="54"/>
      <c r="I439" s="55" t="s">
        <v>1761</v>
      </c>
      <c r="J439" s="55" t="s">
        <v>1762</v>
      </c>
    </row>
    <row r="440">
      <c r="A440" s="50"/>
      <c r="B440" s="50" t="s">
        <v>925</v>
      </c>
      <c r="C440" s="54" t="s">
        <v>1763</v>
      </c>
      <c r="D440" s="54" t="s">
        <v>26</v>
      </c>
      <c r="E440" s="55" t="s">
        <v>1764</v>
      </c>
      <c r="F440" s="53">
        <f t="shared" si="24"/>
        <v>2</v>
      </c>
      <c r="G440" s="54" t="s">
        <v>1765</v>
      </c>
      <c r="H440" s="54"/>
      <c r="I440" s="55" t="s">
        <v>1766</v>
      </c>
      <c r="J440" s="55" t="s">
        <v>1767</v>
      </c>
    </row>
    <row r="441">
      <c r="A441" s="50"/>
      <c r="B441" s="50" t="s">
        <v>925</v>
      </c>
      <c r="C441" s="54" t="s">
        <v>1768</v>
      </c>
      <c r="D441" s="54" t="s">
        <v>145</v>
      </c>
      <c r="E441" s="55" t="s">
        <v>1769</v>
      </c>
      <c r="F441" s="53">
        <f t="shared" si="24"/>
        <v>2</v>
      </c>
      <c r="G441" s="54" t="s">
        <v>1770</v>
      </c>
      <c r="H441" s="54"/>
      <c r="I441" s="55" t="s">
        <v>1771</v>
      </c>
      <c r="J441" s="55" t="s">
        <v>1772</v>
      </c>
    </row>
    <row r="442">
      <c r="A442" s="50"/>
      <c r="B442" s="50" t="s">
        <v>925</v>
      </c>
      <c r="C442" s="54" t="s">
        <v>1773</v>
      </c>
      <c r="D442" s="54" t="s">
        <v>944</v>
      </c>
      <c r="E442" s="55" t="s">
        <v>1774</v>
      </c>
      <c r="F442" s="53">
        <f t="shared" si="24"/>
        <v>2</v>
      </c>
      <c r="G442" s="54" t="s">
        <v>1775</v>
      </c>
      <c r="H442" s="54"/>
      <c r="I442" s="55" t="s">
        <v>1776</v>
      </c>
      <c r="J442" s="55" t="s">
        <v>1777</v>
      </c>
    </row>
    <row r="443">
      <c r="A443" s="50"/>
      <c r="B443" s="50" t="s">
        <v>925</v>
      </c>
      <c r="C443" s="54" t="s">
        <v>1778</v>
      </c>
      <c r="D443" s="54" t="s">
        <v>944</v>
      </c>
      <c r="E443" s="55" t="s">
        <v>1779</v>
      </c>
      <c r="F443" s="53">
        <f t="shared" si="24"/>
        <v>2</v>
      </c>
      <c r="G443" s="54" t="s">
        <v>1780</v>
      </c>
      <c r="H443" s="54"/>
      <c r="I443" s="55" t="s">
        <v>1781</v>
      </c>
      <c r="J443" s="55" t="s">
        <v>1782</v>
      </c>
    </row>
    <row r="444">
      <c r="A444" s="50"/>
      <c r="B444" s="50" t="s">
        <v>925</v>
      </c>
      <c r="C444" s="54" t="s">
        <v>1783</v>
      </c>
      <c r="D444" s="54" t="s">
        <v>944</v>
      </c>
      <c r="E444" s="55" t="s">
        <v>1784</v>
      </c>
      <c r="F444" s="53">
        <f t="shared" si="24"/>
        <v>2</v>
      </c>
      <c r="G444" s="54" t="s">
        <v>1785</v>
      </c>
      <c r="H444" s="54"/>
      <c r="I444" s="55" t="s">
        <v>1786</v>
      </c>
      <c r="J444" s="55" t="s">
        <v>1787</v>
      </c>
    </row>
    <row r="445">
      <c r="A445" s="50"/>
      <c r="B445" s="50" t="s">
        <v>925</v>
      </c>
      <c r="C445" s="54" t="s">
        <v>436</v>
      </c>
      <c r="D445" s="62" t="s">
        <v>40</v>
      </c>
      <c r="E445" s="60" t="s">
        <v>1788</v>
      </c>
      <c r="F445" s="53">
        <f t="shared" si="24"/>
        <v>2</v>
      </c>
      <c r="G445" s="54" t="s">
        <v>436</v>
      </c>
      <c r="H445" s="54"/>
      <c r="I445" s="60" t="s">
        <v>1789</v>
      </c>
      <c r="J445" s="55" t="s">
        <v>1790</v>
      </c>
    </row>
    <row r="446">
      <c r="A446" s="50"/>
      <c r="B446" s="50" t="s">
        <v>925</v>
      </c>
      <c r="C446" s="54" t="s">
        <v>1791</v>
      </c>
      <c r="D446" s="62" t="s">
        <v>436</v>
      </c>
      <c r="E446" s="60" t="s">
        <v>1792</v>
      </c>
      <c r="F446" s="53">
        <f t="shared" si="24"/>
        <v>2</v>
      </c>
      <c r="G446" s="54" t="s">
        <v>1793</v>
      </c>
      <c r="H446" s="54"/>
      <c r="I446" s="60" t="s">
        <v>1794</v>
      </c>
      <c r="J446" s="55" t="s">
        <v>1795</v>
      </c>
    </row>
    <row r="447">
      <c r="A447" s="50"/>
      <c r="B447" s="50" t="s">
        <v>925</v>
      </c>
      <c r="C447" s="54" t="s">
        <v>1796</v>
      </c>
      <c r="D447" s="62" t="s">
        <v>436</v>
      </c>
      <c r="E447" s="60" t="s">
        <v>1797</v>
      </c>
      <c r="F447" s="53">
        <f t="shared" si="24"/>
        <v>2</v>
      </c>
      <c r="G447" s="54" t="s">
        <v>1798</v>
      </c>
      <c r="H447" s="54"/>
      <c r="I447" s="60" t="s">
        <v>1799</v>
      </c>
      <c r="J447" s="55" t="s">
        <v>1800</v>
      </c>
    </row>
    <row r="448">
      <c r="A448" s="50"/>
      <c r="B448" s="50" t="s">
        <v>925</v>
      </c>
      <c r="C448" s="54" t="s">
        <v>1801</v>
      </c>
      <c r="D448" s="62" t="s">
        <v>436</v>
      </c>
      <c r="E448" s="60" t="s">
        <v>1802</v>
      </c>
      <c r="F448" s="53">
        <f t="shared" si="24"/>
        <v>2</v>
      </c>
      <c r="G448" s="54" t="s">
        <v>1803</v>
      </c>
      <c r="H448" s="54"/>
      <c r="I448" s="60" t="s">
        <v>1804</v>
      </c>
      <c r="J448" s="55" t="s">
        <v>1805</v>
      </c>
    </row>
    <row r="449">
      <c r="A449" s="50"/>
      <c r="B449" s="50" t="s">
        <v>925</v>
      </c>
      <c r="C449" s="54" t="s">
        <v>1806</v>
      </c>
      <c r="D449" s="62" t="s">
        <v>40</v>
      </c>
      <c r="E449" s="60" t="s">
        <v>1807</v>
      </c>
      <c r="F449" s="53">
        <f t="shared" si="24"/>
        <v>1</v>
      </c>
      <c r="G449" s="54" t="s">
        <v>1808</v>
      </c>
      <c r="H449" s="54"/>
      <c r="I449" s="56"/>
      <c r="J449" s="55" t="s">
        <v>1809</v>
      </c>
    </row>
    <row r="450">
      <c r="A450" s="50"/>
      <c r="B450" s="50" t="s">
        <v>925</v>
      </c>
      <c r="C450" s="54" t="s">
        <v>1810</v>
      </c>
      <c r="D450" s="62" t="s">
        <v>436</v>
      </c>
      <c r="E450" s="60" t="s">
        <v>1811</v>
      </c>
      <c r="F450" s="53">
        <f t="shared" si="24"/>
        <v>1</v>
      </c>
      <c r="G450" s="54" t="s">
        <v>1812</v>
      </c>
      <c r="H450" s="54"/>
      <c r="I450" s="56"/>
      <c r="J450" s="55" t="s">
        <v>1813</v>
      </c>
    </row>
    <row r="451">
      <c r="A451" s="50"/>
      <c r="B451" s="50" t="s">
        <v>925</v>
      </c>
      <c r="C451" s="54" t="s">
        <v>1814</v>
      </c>
      <c r="D451" s="62" t="s">
        <v>436</v>
      </c>
      <c r="E451" s="60" t="s">
        <v>1815</v>
      </c>
      <c r="F451" s="53">
        <f t="shared" si="24"/>
        <v>1</v>
      </c>
      <c r="G451" s="54" t="s">
        <v>1816</v>
      </c>
      <c r="H451" s="54"/>
      <c r="I451" s="56"/>
      <c r="J451" s="55" t="s">
        <v>1817</v>
      </c>
    </row>
    <row r="452">
      <c r="A452" s="50"/>
      <c r="B452" s="50" t="s">
        <v>925</v>
      </c>
      <c r="C452" s="54" t="s">
        <v>1818</v>
      </c>
      <c r="D452" s="62" t="s">
        <v>436</v>
      </c>
      <c r="E452" s="60" t="s">
        <v>1819</v>
      </c>
      <c r="F452" s="53">
        <f t="shared" si="24"/>
        <v>1</v>
      </c>
      <c r="G452" s="54" t="s">
        <v>1820</v>
      </c>
      <c r="H452" s="54"/>
      <c r="I452" s="56"/>
      <c r="J452" s="55" t="s">
        <v>1821</v>
      </c>
    </row>
    <row r="453">
      <c r="A453" s="33"/>
      <c r="B453" s="33"/>
      <c r="C453" s="12"/>
      <c r="D453" s="39"/>
      <c r="E453" s="15"/>
      <c r="F453" s="14"/>
      <c r="G453" s="12"/>
      <c r="H453" s="12"/>
      <c r="I453" s="15"/>
      <c r="J453" s="15"/>
    </row>
    <row r="454">
      <c r="A454" s="50" t="s">
        <v>1241</v>
      </c>
      <c r="B454" s="50" t="s">
        <v>976</v>
      </c>
      <c r="C454" s="54" t="s">
        <v>1822</v>
      </c>
      <c r="D454" s="54" t="s">
        <v>31</v>
      </c>
      <c r="E454" s="63" t="s">
        <v>1823</v>
      </c>
      <c r="F454" s="53">
        <f t="shared" ref="F454:F474" si="25">counta(I454:J454)</f>
        <v>1</v>
      </c>
      <c r="G454" s="54" t="s">
        <v>1824</v>
      </c>
      <c r="H454" s="54"/>
      <c r="I454" s="64" t="s">
        <v>1825</v>
      </c>
      <c r="J454" s="59"/>
    </row>
    <row r="455">
      <c r="A455" s="50"/>
      <c r="B455" s="50" t="s">
        <v>976</v>
      </c>
      <c r="C455" s="54" t="s">
        <v>1826</v>
      </c>
      <c r="D455" s="54" t="s">
        <v>26</v>
      </c>
      <c r="E455" s="65" t="s">
        <v>978</v>
      </c>
      <c r="F455" s="53">
        <f t="shared" si="25"/>
        <v>1</v>
      </c>
      <c r="G455" s="54" t="s">
        <v>1827</v>
      </c>
      <c r="H455" s="54"/>
      <c r="I455" s="66" t="s">
        <v>1828</v>
      </c>
      <c r="J455" s="59"/>
    </row>
    <row r="456">
      <c r="A456" s="50"/>
      <c r="B456" s="50" t="s">
        <v>976</v>
      </c>
      <c r="C456" s="54" t="s">
        <v>1829</v>
      </c>
      <c r="D456" s="54" t="s">
        <v>145</v>
      </c>
      <c r="E456" s="65" t="s">
        <v>981</v>
      </c>
      <c r="F456" s="53">
        <f t="shared" si="25"/>
        <v>1</v>
      </c>
      <c r="G456" s="54" t="s">
        <v>1830</v>
      </c>
      <c r="H456" s="54"/>
      <c r="I456" s="66" t="s">
        <v>1831</v>
      </c>
      <c r="J456" s="59"/>
    </row>
    <row r="457">
      <c r="A457" s="50"/>
      <c r="B457" s="50" t="s">
        <v>976</v>
      </c>
      <c r="C457" s="54" t="s">
        <v>984</v>
      </c>
      <c r="D457" s="54" t="s">
        <v>984</v>
      </c>
      <c r="E457" s="65" t="s">
        <v>985</v>
      </c>
      <c r="F457" s="53">
        <f t="shared" si="25"/>
        <v>1</v>
      </c>
      <c r="G457" s="54" t="s">
        <v>984</v>
      </c>
      <c r="H457" s="54"/>
      <c r="I457" s="66" t="s">
        <v>1832</v>
      </c>
      <c r="J457" s="59"/>
    </row>
    <row r="458">
      <c r="A458" s="50"/>
      <c r="B458" s="50" t="s">
        <v>976</v>
      </c>
      <c r="C458" s="54" t="s">
        <v>1833</v>
      </c>
      <c r="D458" s="54" t="s">
        <v>984</v>
      </c>
      <c r="E458" s="52" t="s">
        <v>988</v>
      </c>
      <c r="F458" s="53">
        <f t="shared" si="25"/>
        <v>2</v>
      </c>
      <c r="G458" s="54" t="s">
        <v>1833</v>
      </c>
      <c r="H458" s="54"/>
      <c r="I458" s="55" t="s">
        <v>1834</v>
      </c>
      <c r="J458" s="55" t="s">
        <v>1835</v>
      </c>
    </row>
    <row r="459">
      <c r="A459" s="50"/>
      <c r="B459" s="50" t="s">
        <v>976</v>
      </c>
      <c r="C459" s="54" t="s">
        <v>1836</v>
      </c>
      <c r="D459" s="54" t="s">
        <v>984</v>
      </c>
      <c r="E459" s="52" t="s">
        <v>991</v>
      </c>
      <c r="F459" s="53">
        <f t="shared" si="25"/>
        <v>2</v>
      </c>
      <c r="G459" s="54" t="s">
        <v>1836</v>
      </c>
      <c r="H459" s="54"/>
      <c r="I459" s="55" t="s">
        <v>1837</v>
      </c>
      <c r="J459" s="55" t="s">
        <v>1838</v>
      </c>
    </row>
    <row r="460">
      <c r="A460" s="50"/>
      <c r="B460" s="50" t="s">
        <v>976</v>
      </c>
      <c r="C460" s="54" t="s">
        <v>1839</v>
      </c>
      <c r="D460" s="54" t="s">
        <v>984</v>
      </c>
      <c r="E460" s="52" t="s">
        <v>994</v>
      </c>
      <c r="F460" s="53">
        <f t="shared" si="25"/>
        <v>2</v>
      </c>
      <c r="G460" s="54" t="s">
        <v>1839</v>
      </c>
      <c r="H460" s="54"/>
      <c r="I460" s="55" t="s">
        <v>1840</v>
      </c>
      <c r="J460" s="55" t="s">
        <v>1841</v>
      </c>
    </row>
    <row r="461">
      <c r="A461" s="50"/>
      <c r="B461" s="50" t="s">
        <v>976</v>
      </c>
      <c r="C461" s="54" t="s">
        <v>997</v>
      </c>
      <c r="D461" s="54" t="s">
        <v>997</v>
      </c>
      <c r="E461" s="67" t="s">
        <v>998</v>
      </c>
      <c r="F461" s="53">
        <f t="shared" si="25"/>
        <v>1</v>
      </c>
      <c r="G461" s="54" t="s">
        <v>997</v>
      </c>
      <c r="H461" s="54"/>
      <c r="I461" s="68" t="s">
        <v>1842</v>
      </c>
      <c r="J461" s="69"/>
    </row>
    <row r="462">
      <c r="A462" s="50"/>
      <c r="B462" s="50" t="s">
        <v>976</v>
      </c>
      <c r="C462" s="54" t="s">
        <v>1843</v>
      </c>
      <c r="D462" s="54" t="s">
        <v>997</v>
      </c>
      <c r="E462" s="52" t="s">
        <v>1001</v>
      </c>
      <c r="F462" s="53">
        <f t="shared" si="25"/>
        <v>2</v>
      </c>
      <c r="G462" s="54" t="s">
        <v>1844</v>
      </c>
      <c r="H462" s="54"/>
      <c r="I462" s="55" t="s">
        <v>1845</v>
      </c>
      <c r="J462" s="55" t="s">
        <v>1846</v>
      </c>
    </row>
    <row r="463">
      <c r="A463" s="50"/>
      <c r="B463" s="50" t="s">
        <v>976</v>
      </c>
      <c r="C463" s="54" t="s">
        <v>1847</v>
      </c>
      <c r="D463" s="54" t="s">
        <v>997</v>
      </c>
      <c r="E463" s="52" t="s">
        <v>1004</v>
      </c>
      <c r="F463" s="53">
        <f t="shared" si="25"/>
        <v>2</v>
      </c>
      <c r="G463" s="54" t="s">
        <v>1848</v>
      </c>
      <c r="H463" s="54"/>
      <c r="I463" s="55" t="s">
        <v>1849</v>
      </c>
      <c r="J463" s="55" t="s">
        <v>1850</v>
      </c>
    </row>
    <row r="464">
      <c r="A464" s="50"/>
      <c r="B464" s="50" t="s">
        <v>976</v>
      </c>
      <c r="C464" s="54" t="s">
        <v>1851</v>
      </c>
      <c r="D464" s="54" t="s">
        <v>997</v>
      </c>
      <c r="E464" s="52" t="s">
        <v>1007</v>
      </c>
      <c r="F464" s="53">
        <f t="shared" si="25"/>
        <v>2</v>
      </c>
      <c r="G464" s="54" t="s">
        <v>1852</v>
      </c>
      <c r="H464" s="54"/>
      <c r="I464" s="55" t="s">
        <v>1853</v>
      </c>
      <c r="J464" s="55" t="s">
        <v>1854</v>
      </c>
    </row>
    <row r="465">
      <c r="A465" s="50"/>
      <c r="B465" s="50" t="s">
        <v>976</v>
      </c>
      <c r="C465" s="54" t="s">
        <v>1010</v>
      </c>
      <c r="D465" s="54" t="s">
        <v>1010</v>
      </c>
      <c r="E465" s="67" t="s">
        <v>1011</v>
      </c>
      <c r="F465" s="53">
        <f t="shared" si="25"/>
        <v>1</v>
      </c>
      <c r="G465" s="54" t="s">
        <v>1010</v>
      </c>
      <c r="H465" s="54"/>
      <c r="I465" s="68" t="s">
        <v>1855</v>
      </c>
      <c r="J465" s="69"/>
    </row>
    <row r="466">
      <c r="A466" s="50"/>
      <c r="B466" s="50" t="s">
        <v>976</v>
      </c>
      <c r="C466" s="54" t="s">
        <v>1856</v>
      </c>
      <c r="D466" s="54" t="s">
        <v>1010</v>
      </c>
      <c r="E466" s="52" t="s">
        <v>1014</v>
      </c>
      <c r="F466" s="53">
        <f t="shared" si="25"/>
        <v>2</v>
      </c>
      <c r="G466" s="54" t="s">
        <v>1856</v>
      </c>
      <c r="H466" s="54"/>
      <c r="I466" s="55" t="s">
        <v>1857</v>
      </c>
      <c r="J466" s="55" t="s">
        <v>1858</v>
      </c>
    </row>
    <row r="467">
      <c r="A467" s="50"/>
      <c r="B467" s="50" t="s">
        <v>976</v>
      </c>
      <c r="C467" s="54" t="s">
        <v>1859</v>
      </c>
      <c r="D467" s="54" t="s">
        <v>1010</v>
      </c>
      <c r="E467" s="52" t="s">
        <v>1017</v>
      </c>
      <c r="F467" s="53">
        <f t="shared" si="25"/>
        <v>2</v>
      </c>
      <c r="G467" s="54" t="s">
        <v>1859</v>
      </c>
      <c r="H467" s="54"/>
      <c r="I467" s="55" t="s">
        <v>1860</v>
      </c>
      <c r="J467" s="55" t="s">
        <v>1861</v>
      </c>
    </row>
    <row r="468">
      <c r="A468" s="50"/>
      <c r="B468" s="50" t="s">
        <v>976</v>
      </c>
      <c r="C468" s="54" t="s">
        <v>1862</v>
      </c>
      <c r="D468" s="54" t="s">
        <v>1010</v>
      </c>
      <c r="E468" s="52" t="s">
        <v>1020</v>
      </c>
      <c r="F468" s="53">
        <f t="shared" si="25"/>
        <v>2</v>
      </c>
      <c r="G468" s="54" t="s">
        <v>1862</v>
      </c>
      <c r="H468" s="54"/>
      <c r="I468" s="55" t="s">
        <v>1863</v>
      </c>
      <c r="J468" s="55" t="s">
        <v>1864</v>
      </c>
    </row>
    <row r="469">
      <c r="A469" s="50"/>
      <c r="B469" s="50" t="s">
        <v>976</v>
      </c>
      <c r="C469" s="54" t="s">
        <v>1023</v>
      </c>
      <c r="D469" s="54" t="s">
        <v>1023</v>
      </c>
      <c r="E469" s="52"/>
      <c r="F469" s="53">
        <f t="shared" si="25"/>
        <v>1</v>
      </c>
      <c r="G469" s="54" t="s">
        <v>1023</v>
      </c>
      <c r="H469" s="54"/>
      <c r="I469" s="55" t="s">
        <v>1865</v>
      </c>
      <c r="J469" s="55"/>
    </row>
    <row r="470">
      <c r="A470" s="50"/>
      <c r="B470" s="50" t="s">
        <v>976</v>
      </c>
      <c r="C470" s="54" t="s">
        <v>1866</v>
      </c>
      <c r="D470" s="54" t="s">
        <v>1023</v>
      </c>
      <c r="E470" s="52" t="s">
        <v>1026</v>
      </c>
      <c r="F470" s="53">
        <f t="shared" si="25"/>
        <v>2</v>
      </c>
      <c r="G470" s="54" t="s">
        <v>1866</v>
      </c>
      <c r="H470" s="54"/>
      <c r="I470" s="55" t="s">
        <v>1867</v>
      </c>
      <c r="J470" s="55" t="s">
        <v>1868</v>
      </c>
    </row>
    <row r="471">
      <c r="A471" s="50"/>
      <c r="B471" s="50" t="s">
        <v>976</v>
      </c>
      <c r="C471" s="54" t="s">
        <v>1869</v>
      </c>
      <c r="D471" s="54" t="s">
        <v>1023</v>
      </c>
      <c r="E471" s="52" t="s">
        <v>1029</v>
      </c>
      <c r="F471" s="53">
        <f t="shared" si="25"/>
        <v>2</v>
      </c>
      <c r="G471" s="54" t="s">
        <v>1869</v>
      </c>
      <c r="H471" s="54"/>
      <c r="I471" s="55" t="s">
        <v>1870</v>
      </c>
      <c r="J471" s="55" t="s">
        <v>1871</v>
      </c>
    </row>
    <row r="472">
      <c r="A472" s="50"/>
      <c r="B472" s="50" t="s">
        <v>976</v>
      </c>
      <c r="C472" s="54" t="s">
        <v>1872</v>
      </c>
      <c r="D472" s="54" t="s">
        <v>1023</v>
      </c>
      <c r="E472" s="52" t="s">
        <v>1032</v>
      </c>
      <c r="F472" s="53">
        <f t="shared" si="25"/>
        <v>2</v>
      </c>
      <c r="G472" s="54" t="s">
        <v>1872</v>
      </c>
      <c r="H472" s="54"/>
      <c r="I472" s="55" t="s">
        <v>1873</v>
      </c>
      <c r="J472" s="55" t="s">
        <v>1874</v>
      </c>
    </row>
    <row r="473">
      <c r="A473" s="50"/>
      <c r="B473" s="50" t="s">
        <v>976</v>
      </c>
      <c r="C473" s="54" t="s">
        <v>1875</v>
      </c>
      <c r="D473" s="54" t="s">
        <v>483</v>
      </c>
      <c r="E473" s="55" t="s">
        <v>1035</v>
      </c>
      <c r="F473" s="53">
        <f t="shared" si="25"/>
        <v>2</v>
      </c>
      <c r="G473" s="54" t="s">
        <v>1876</v>
      </c>
      <c r="H473" s="54"/>
      <c r="I473" s="55" t="s">
        <v>1877</v>
      </c>
      <c r="J473" s="55" t="s">
        <v>1878</v>
      </c>
    </row>
    <row r="474">
      <c r="A474" s="50"/>
      <c r="B474" s="50" t="s">
        <v>976</v>
      </c>
      <c r="C474" s="54" t="s">
        <v>1879</v>
      </c>
      <c r="D474" s="54" t="s">
        <v>483</v>
      </c>
      <c r="E474" s="55" t="s">
        <v>1038</v>
      </c>
      <c r="F474" s="53">
        <f t="shared" si="25"/>
        <v>2</v>
      </c>
      <c r="G474" s="54" t="s">
        <v>1880</v>
      </c>
      <c r="H474" s="54"/>
      <c r="I474" s="55" t="s">
        <v>1881</v>
      </c>
      <c r="J474" s="55" t="s">
        <v>1882</v>
      </c>
    </row>
    <row r="475">
      <c r="A475" s="33"/>
      <c r="B475" s="33"/>
      <c r="C475" s="12"/>
      <c r="D475" s="12"/>
      <c r="E475" s="15"/>
      <c r="F475" s="14"/>
      <c r="G475" s="12"/>
      <c r="H475" s="12"/>
      <c r="I475" s="15"/>
      <c r="J475" s="15"/>
    </row>
    <row r="476">
      <c r="A476" s="50" t="s">
        <v>1241</v>
      </c>
      <c r="B476" s="50" t="s">
        <v>1040</v>
      </c>
      <c r="C476" s="54" t="s">
        <v>1883</v>
      </c>
      <c r="D476" s="54" t="s">
        <v>31</v>
      </c>
      <c r="E476" s="55" t="s">
        <v>1884</v>
      </c>
      <c r="F476" s="53">
        <f t="shared" ref="F476:F512" si="26">counta(I476:J476)</f>
        <v>2</v>
      </c>
      <c r="G476" s="54" t="s">
        <v>1885</v>
      </c>
      <c r="H476" s="54"/>
      <c r="I476" s="55" t="s">
        <v>1886</v>
      </c>
      <c r="J476" s="55" t="s">
        <v>1887</v>
      </c>
    </row>
    <row r="477">
      <c r="A477" s="50"/>
      <c r="B477" s="50" t="s">
        <v>1040</v>
      </c>
      <c r="C477" s="54" t="s">
        <v>1888</v>
      </c>
      <c r="D477" s="54" t="s">
        <v>40</v>
      </c>
      <c r="E477" s="55" t="s">
        <v>1042</v>
      </c>
      <c r="F477" s="53">
        <f t="shared" si="26"/>
        <v>2</v>
      </c>
      <c r="G477" s="54" t="s">
        <v>1889</v>
      </c>
      <c r="H477" s="54"/>
      <c r="I477" s="55" t="s">
        <v>1890</v>
      </c>
      <c r="J477" s="55" t="s">
        <v>1891</v>
      </c>
    </row>
    <row r="478">
      <c r="A478" s="50"/>
      <c r="B478" s="50" t="s">
        <v>1040</v>
      </c>
      <c r="C478" s="54" t="s">
        <v>1892</v>
      </c>
      <c r="D478" s="54" t="s">
        <v>26</v>
      </c>
      <c r="E478" s="55" t="s">
        <v>1045</v>
      </c>
      <c r="F478" s="53">
        <f t="shared" si="26"/>
        <v>2</v>
      </c>
      <c r="G478" s="54" t="s">
        <v>1893</v>
      </c>
      <c r="H478" s="54"/>
      <c r="I478" s="55" t="s">
        <v>1894</v>
      </c>
      <c r="J478" s="55" t="s">
        <v>1895</v>
      </c>
    </row>
    <row r="479">
      <c r="A479" s="50"/>
      <c r="B479" s="50" t="s">
        <v>1040</v>
      </c>
      <c r="C479" s="54" t="s">
        <v>1896</v>
      </c>
      <c r="D479" s="54" t="s">
        <v>145</v>
      </c>
      <c r="E479" s="55" t="s">
        <v>1048</v>
      </c>
      <c r="F479" s="53">
        <f t="shared" si="26"/>
        <v>2</v>
      </c>
      <c r="G479" s="54" t="s">
        <v>1897</v>
      </c>
      <c r="H479" s="54"/>
      <c r="I479" s="55" t="s">
        <v>1898</v>
      </c>
      <c r="J479" s="55" t="s">
        <v>1899</v>
      </c>
    </row>
    <row r="480">
      <c r="A480" s="50"/>
      <c r="B480" s="50" t="s">
        <v>1040</v>
      </c>
      <c r="C480" s="54" t="s">
        <v>1900</v>
      </c>
      <c r="D480" s="54" t="s">
        <v>1051</v>
      </c>
      <c r="E480" s="55" t="s">
        <v>1052</v>
      </c>
      <c r="F480" s="53">
        <f t="shared" si="26"/>
        <v>2</v>
      </c>
      <c r="G480" s="54" t="s">
        <v>1901</v>
      </c>
      <c r="H480" s="54"/>
      <c r="I480" s="55" t="s">
        <v>1902</v>
      </c>
      <c r="J480" s="55" t="s">
        <v>1903</v>
      </c>
    </row>
    <row r="481">
      <c r="A481" s="50"/>
      <c r="B481" s="50" t="s">
        <v>1040</v>
      </c>
      <c r="C481" s="54" t="s">
        <v>1904</v>
      </c>
      <c r="D481" s="54" t="s">
        <v>1051</v>
      </c>
      <c r="E481" s="55" t="s">
        <v>1055</v>
      </c>
      <c r="F481" s="53">
        <f t="shared" si="26"/>
        <v>2</v>
      </c>
      <c r="G481" s="54" t="s">
        <v>1905</v>
      </c>
      <c r="H481" s="54"/>
      <c r="I481" s="55" t="s">
        <v>1906</v>
      </c>
      <c r="J481" s="55" t="s">
        <v>1907</v>
      </c>
    </row>
    <row r="482">
      <c r="A482" s="50"/>
      <c r="B482" s="50" t="s">
        <v>1040</v>
      </c>
      <c r="C482" s="54" t="s">
        <v>1908</v>
      </c>
      <c r="D482" s="54" t="s">
        <v>1051</v>
      </c>
      <c r="E482" s="55" t="s">
        <v>1058</v>
      </c>
      <c r="F482" s="53">
        <f t="shared" si="26"/>
        <v>2</v>
      </c>
      <c r="G482" s="54" t="s">
        <v>1909</v>
      </c>
      <c r="H482" s="54"/>
      <c r="I482" s="55" t="s">
        <v>1910</v>
      </c>
      <c r="J482" s="55" t="s">
        <v>1911</v>
      </c>
    </row>
    <row r="483">
      <c r="A483" s="50"/>
      <c r="B483" s="50" t="s">
        <v>1040</v>
      </c>
      <c r="C483" s="54" t="s">
        <v>1912</v>
      </c>
      <c r="D483" s="54" t="s">
        <v>1051</v>
      </c>
      <c r="E483" s="55" t="s">
        <v>1061</v>
      </c>
      <c r="F483" s="53">
        <f t="shared" si="26"/>
        <v>2</v>
      </c>
      <c r="G483" s="54" t="s">
        <v>1913</v>
      </c>
      <c r="H483" s="54"/>
      <c r="I483" s="55" t="s">
        <v>1914</v>
      </c>
      <c r="J483" s="55" t="s">
        <v>1915</v>
      </c>
    </row>
    <row r="484">
      <c r="A484" s="50"/>
      <c r="B484" s="50" t="s">
        <v>1040</v>
      </c>
      <c r="C484" s="54" t="s">
        <v>1916</v>
      </c>
      <c r="D484" s="54" t="s">
        <v>1051</v>
      </c>
      <c r="E484" s="55" t="s">
        <v>1064</v>
      </c>
      <c r="F484" s="53">
        <f t="shared" si="26"/>
        <v>2</v>
      </c>
      <c r="G484" s="54" t="s">
        <v>1917</v>
      </c>
      <c r="H484" s="54"/>
      <c r="I484" s="55" t="s">
        <v>1918</v>
      </c>
      <c r="J484" s="55" t="s">
        <v>1919</v>
      </c>
    </row>
    <row r="485">
      <c r="A485" s="50"/>
      <c r="B485" s="50" t="s">
        <v>1040</v>
      </c>
      <c r="C485" s="54" t="s">
        <v>1920</v>
      </c>
      <c r="D485" s="54" t="s">
        <v>1051</v>
      </c>
      <c r="E485" s="55" t="s">
        <v>1067</v>
      </c>
      <c r="F485" s="53">
        <f t="shared" si="26"/>
        <v>2</v>
      </c>
      <c r="G485" s="54" t="s">
        <v>1921</v>
      </c>
      <c r="H485" s="54"/>
      <c r="I485" s="55" t="s">
        <v>1922</v>
      </c>
      <c r="J485" s="55" t="s">
        <v>1923</v>
      </c>
    </row>
    <row r="486">
      <c r="A486" s="50"/>
      <c r="B486" s="50" t="s">
        <v>1040</v>
      </c>
      <c r="C486" s="54" t="s">
        <v>1924</v>
      </c>
      <c r="D486" s="54" t="s">
        <v>1051</v>
      </c>
      <c r="E486" s="55" t="s">
        <v>1070</v>
      </c>
      <c r="F486" s="53">
        <f t="shared" si="26"/>
        <v>2</v>
      </c>
      <c r="G486" s="54" t="s">
        <v>1925</v>
      </c>
      <c r="H486" s="54"/>
      <c r="I486" s="55" t="s">
        <v>1926</v>
      </c>
      <c r="J486" s="55" t="s">
        <v>1927</v>
      </c>
    </row>
    <row r="487">
      <c r="A487" s="50"/>
      <c r="B487" s="50" t="s">
        <v>1040</v>
      </c>
      <c r="C487" s="54" t="s">
        <v>1928</v>
      </c>
      <c r="D487" s="54" t="s">
        <v>1051</v>
      </c>
      <c r="E487" s="55" t="s">
        <v>1073</v>
      </c>
      <c r="F487" s="53">
        <f t="shared" si="26"/>
        <v>2</v>
      </c>
      <c r="G487" s="54" t="s">
        <v>1929</v>
      </c>
      <c r="H487" s="54"/>
      <c r="I487" s="55" t="s">
        <v>1930</v>
      </c>
      <c r="J487" s="55" t="s">
        <v>1931</v>
      </c>
    </row>
    <row r="488">
      <c r="A488" s="50"/>
      <c r="B488" s="50" t="s">
        <v>1040</v>
      </c>
      <c r="C488" s="54" t="s">
        <v>1932</v>
      </c>
      <c r="D488" s="54" t="s">
        <v>16</v>
      </c>
      <c r="E488" s="55" t="s">
        <v>1076</v>
      </c>
      <c r="F488" s="53">
        <f t="shared" si="26"/>
        <v>2</v>
      </c>
      <c r="G488" s="54" t="s">
        <v>1933</v>
      </c>
      <c r="H488" s="54"/>
      <c r="I488" s="55" t="s">
        <v>1934</v>
      </c>
      <c r="J488" s="55" t="s">
        <v>1935</v>
      </c>
    </row>
    <row r="489">
      <c r="A489" s="50"/>
      <c r="B489" s="50" t="s">
        <v>1040</v>
      </c>
      <c r="C489" s="54" t="s">
        <v>1936</v>
      </c>
      <c r="D489" s="54" t="s">
        <v>40</v>
      </c>
      <c r="E489" s="55" t="s">
        <v>1079</v>
      </c>
      <c r="F489" s="53">
        <f t="shared" si="26"/>
        <v>2</v>
      </c>
      <c r="G489" s="54" t="s">
        <v>1937</v>
      </c>
      <c r="H489" s="54"/>
      <c r="I489" s="55" t="s">
        <v>1938</v>
      </c>
      <c r="J489" s="55" t="s">
        <v>1939</v>
      </c>
    </row>
    <row r="490">
      <c r="A490" s="50"/>
      <c r="B490" s="50" t="s">
        <v>1040</v>
      </c>
      <c r="C490" s="54" t="s">
        <v>1940</v>
      </c>
      <c r="D490" s="54" t="s">
        <v>26</v>
      </c>
      <c r="E490" s="55" t="s">
        <v>1082</v>
      </c>
      <c r="F490" s="53">
        <f t="shared" si="26"/>
        <v>2</v>
      </c>
      <c r="G490" s="54" t="s">
        <v>1941</v>
      </c>
      <c r="H490" s="54"/>
      <c r="I490" s="55" t="s">
        <v>1942</v>
      </c>
      <c r="J490" s="55" t="s">
        <v>1943</v>
      </c>
    </row>
    <row r="491">
      <c r="A491" s="50"/>
      <c r="B491" s="50" t="s">
        <v>1040</v>
      </c>
      <c r="C491" s="54" t="s">
        <v>1944</v>
      </c>
      <c r="D491" s="54" t="s">
        <v>145</v>
      </c>
      <c r="E491" s="55" t="s">
        <v>1085</v>
      </c>
      <c r="F491" s="53">
        <f t="shared" si="26"/>
        <v>2</v>
      </c>
      <c r="G491" s="54" t="s">
        <v>1945</v>
      </c>
      <c r="H491" s="54"/>
      <c r="I491" s="55" t="s">
        <v>1946</v>
      </c>
      <c r="J491" s="55" t="s">
        <v>1947</v>
      </c>
    </row>
    <row r="492">
      <c r="A492" s="50"/>
      <c r="B492" s="50" t="s">
        <v>1040</v>
      </c>
      <c r="C492" s="54" t="s">
        <v>1948</v>
      </c>
      <c r="D492" s="54" t="s">
        <v>1051</v>
      </c>
      <c r="E492" s="55" t="s">
        <v>1088</v>
      </c>
      <c r="F492" s="53">
        <f t="shared" si="26"/>
        <v>2</v>
      </c>
      <c r="G492" s="54" t="s">
        <v>1949</v>
      </c>
      <c r="H492" s="54"/>
      <c r="I492" s="55" t="s">
        <v>1950</v>
      </c>
      <c r="J492" s="55" t="s">
        <v>1951</v>
      </c>
    </row>
    <row r="493">
      <c r="A493" s="50"/>
      <c r="B493" s="50" t="s">
        <v>1040</v>
      </c>
      <c r="C493" s="54" t="s">
        <v>1952</v>
      </c>
      <c r="D493" s="54" t="s">
        <v>1051</v>
      </c>
      <c r="E493" s="55" t="s">
        <v>1091</v>
      </c>
      <c r="F493" s="53">
        <f t="shared" si="26"/>
        <v>2</v>
      </c>
      <c r="G493" s="54" t="s">
        <v>1953</v>
      </c>
      <c r="H493" s="54"/>
      <c r="I493" s="55" t="s">
        <v>1954</v>
      </c>
      <c r="J493" s="55" t="s">
        <v>1955</v>
      </c>
    </row>
    <row r="494">
      <c r="A494" s="50"/>
      <c r="B494" s="50" t="s">
        <v>1040</v>
      </c>
      <c r="C494" s="54" t="s">
        <v>1956</v>
      </c>
      <c r="D494" s="54" t="s">
        <v>1051</v>
      </c>
      <c r="E494" s="55" t="s">
        <v>1094</v>
      </c>
      <c r="F494" s="53">
        <f t="shared" si="26"/>
        <v>2</v>
      </c>
      <c r="G494" s="54" t="s">
        <v>1957</v>
      </c>
      <c r="H494" s="54"/>
      <c r="I494" s="55" t="s">
        <v>1958</v>
      </c>
      <c r="J494" s="55" t="s">
        <v>1959</v>
      </c>
    </row>
    <row r="495">
      <c r="A495" s="50"/>
      <c r="B495" s="50" t="s">
        <v>1040</v>
      </c>
      <c r="C495" s="54" t="s">
        <v>1960</v>
      </c>
      <c r="D495" s="54" t="s">
        <v>1051</v>
      </c>
      <c r="E495" s="55" t="s">
        <v>1097</v>
      </c>
      <c r="F495" s="53">
        <f t="shared" si="26"/>
        <v>2</v>
      </c>
      <c r="G495" s="54" t="s">
        <v>1961</v>
      </c>
      <c r="H495" s="54"/>
      <c r="I495" s="55" t="s">
        <v>1962</v>
      </c>
      <c r="J495" s="55" t="s">
        <v>1963</v>
      </c>
    </row>
    <row r="496">
      <c r="A496" s="50"/>
      <c r="B496" s="50" t="s">
        <v>1040</v>
      </c>
      <c r="C496" s="54" t="s">
        <v>1964</v>
      </c>
      <c r="D496" s="54" t="s">
        <v>1051</v>
      </c>
      <c r="E496" s="55" t="s">
        <v>1100</v>
      </c>
      <c r="F496" s="53">
        <f t="shared" si="26"/>
        <v>2</v>
      </c>
      <c r="G496" s="54" t="s">
        <v>1965</v>
      </c>
      <c r="H496" s="54"/>
      <c r="I496" s="55" t="s">
        <v>1966</v>
      </c>
      <c r="J496" s="55" t="s">
        <v>1967</v>
      </c>
    </row>
    <row r="497">
      <c r="A497" s="50"/>
      <c r="B497" s="50" t="s">
        <v>1040</v>
      </c>
      <c r="C497" s="54" t="s">
        <v>1968</v>
      </c>
      <c r="D497" s="54" t="s">
        <v>1051</v>
      </c>
      <c r="E497" s="55" t="s">
        <v>1103</v>
      </c>
      <c r="F497" s="53">
        <f t="shared" si="26"/>
        <v>2</v>
      </c>
      <c r="G497" s="54" t="s">
        <v>1969</v>
      </c>
      <c r="H497" s="54"/>
      <c r="I497" s="55" t="s">
        <v>1970</v>
      </c>
      <c r="J497" s="55" t="s">
        <v>1971</v>
      </c>
    </row>
    <row r="498">
      <c r="A498" s="50"/>
      <c r="B498" s="50" t="s">
        <v>1040</v>
      </c>
      <c r="C498" s="54" t="s">
        <v>1972</v>
      </c>
      <c r="D498" s="54" t="s">
        <v>1051</v>
      </c>
      <c r="E498" s="55" t="s">
        <v>1106</v>
      </c>
      <c r="F498" s="53">
        <f t="shared" si="26"/>
        <v>2</v>
      </c>
      <c r="G498" s="54" t="s">
        <v>1973</v>
      </c>
      <c r="H498" s="54"/>
      <c r="I498" s="55" t="s">
        <v>1974</v>
      </c>
      <c r="J498" s="55" t="s">
        <v>1975</v>
      </c>
    </row>
    <row r="499">
      <c r="A499" s="50"/>
      <c r="B499" s="50" t="s">
        <v>1040</v>
      </c>
      <c r="C499" s="54" t="s">
        <v>1976</v>
      </c>
      <c r="D499" s="54" t="s">
        <v>1051</v>
      </c>
      <c r="E499" s="55" t="s">
        <v>1109</v>
      </c>
      <c r="F499" s="53">
        <f t="shared" si="26"/>
        <v>2</v>
      </c>
      <c r="G499" s="54" t="s">
        <v>1977</v>
      </c>
      <c r="H499" s="54"/>
      <c r="I499" s="55" t="s">
        <v>1978</v>
      </c>
      <c r="J499" s="55" t="s">
        <v>1979</v>
      </c>
    </row>
    <row r="500">
      <c r="A500" s="50"/>
      <c r="B500" s="50" t="s">
        <v>1040</v>
      </c>
      <c r="C500" s="54" t="s">
        <v>1980</v>
      </c>
      <c r="D500" s="54" t="s">
        <v>16</v>
      </c>
      <c r="E500" s="55" t="s">
        <v>1112</v>
      </c>
      <c r="F500" s="53">
        <f t="shared" si="26"/>
        <v>2</v>
      </c>
      <c r="G500" s="54" t="s">
        <v>1981</v>
      </c>
      <c r="H500" s="54"/>
      <c r="I500" s="55" t="s">
        <v>1982</v>
      </c>
      <c r="J500" s="55" t="s">
        <v>1983</v>
      </c>
    </row>
    <row r="501">
      <c r="A501" s="50"/>
      <c r="B501" s="50" t="s">
        <v>1040</v>
      </c>
      <c r="C501" s="54" t="s">
        <v>1984</v>
      </c>
      <c r="D501" s="54" t="s">
        <v>40</v>
      </c>
      <c r="E501" s="55" t="s">
        <v>1115</v>
      </c>
      <c r="F501" s="53">
        <f t="shared" si="26"/>
        <v>2</v>
      </c>
      <c r="G501" s="54" t="s">
        <v>1985</v>
      </c>
      <c r="H501" s="54"/>
      <c r="I501" s="55" t="s">
        <v>1986</v>
      </c>
      <c r="J501" s="55" t="s">
        <v>1987</v>
      </c>
    </row>
    <row r="502">
      <c r="A502" s="50"/>
      <c r="B502" s="50" t="s">
        <v>1040</v>
      </c>
      <c r="C502" s="54" t="s">
        <v>1988</v>
      </c>
      <c r="D502" s="54" t="s">
        <v>26</v>
      </c>
      <c r="E502" s="55" t="s">
        <v>1118</v>
      </c>
      <c r="F502" s="53">
        <f t="shared" si="26"/>
        <v>2</v>
      </c>
      <c r="G502" s="54" t="s">
        <v>1989</v>
      </c>
      <c r="H502" s="54"/>
      <c r="I502" s="55" t="s">
        <v>1990</v>
      </c>
      <c r="J502" s="55" t="s">
        <v>1991</v>
      </c>
    </row>
    <row r="503">
      <c r="A503" s="50"/>
      <c r="B503" s="50" t="s">
        <v>1040</v>
      </c>
      <c r="C503" s="54" t="s">
        <v>1992</v>
      </c>
      <c r="D503" s="54" t="s">
        <v>145</v>
      </c>
      <c r="E503" s="55" t="s">
        <v>1121</v>
      </c>
      <c r="F503" s="53">
        <f t="shared" si="26"/>
        <v>2</v>
      </c>
      <c r="G503" s="54" t="s">
        <v>1993</v>
      </c>
      <c r="H503" s="54"/>
      <c r="I503" s="55" t="s">
        <v>1994</v>
      </c>
      <c r="J503" s="55" t="s">
        <v>1995</v>
      </c>
    </row>
    <row r="504">
      <c r="A504" s="50"/>
      <c r="B504" s="50" t="s">
        <v>1040</v>
      </c>
      <c r="C504" s="54" t="s">
        <v>1996</v>
      </c>
      <c r="D504" s="54" t="s">
        <v>1051</v>
      </c>
      <c r="E504" s="55" t="s">
        <v>1124</v>
      </c>
      <c r="F504" s="53">
        <f t="shared" si="26"/>
        <v>2</v>
      </c>
      <c r="G504" s="54" t="s">
        <v>1997</v>
      </c>
      <c r="H504" s="54"/>
      <c r="I504" s="55" t="s">
        <v>1998</v>
      </c>
      <c r="J504" s="55" t="s">
        <v>1999</v>
      </c>
    </row>
    <row r="505">
      <c r="A505" s="50"/>
      <c r="B505" s="50" t="s">
        <v>1040</v>
      </c>
      <c r="C505" s="54" t="s">
        <v>2000</v>
      </c>
      <c r="D505" s="54" t="s">
        <v>1051</v>
      </c>
      <c r="E505" s="55" t="s">
        <v>1127</v>
      </c>
      <c r="F505" s="53">
        <f t="shared" si="26"/>
        <v>2</v>
      </c>
      <c r="G505" s="54" t="s">
        <v>2001</v>
      </c>
      <c r="H505" s="54"/>
      <c r="I505" s="55" t="s">
        <v>2002</v>
      </c>
      <c r="J505" s="55" t="s">
        <v>2003</v>
      </c>
    </row>
    <row r="506">
      <c r="A506" s="50"/>
      <c r="B506" s="50" t="s">
        <v>1040</v>
      </c>
      <c r="C506" s="54" t="s">
        <v>2004</v>
      </c>
      <c r="D506" s="54" t="s">
        <v>1051</v>
      </c>
      <c r="E506" s="55" t="s">
        <v>1130</v>
      </c>
      <c r="F506" s="53">
        <f t="shared" si="26"/>
        <v>2</v>
      </c>
      <c r="G506" s="54" t="s">
        <v>2005</v>
      </c>
      <c r="H506" s="54"/>
      <c r="I506" s="55" t="s">
        <v>2006</v>
      </c>
      <c r="J506" s="55" t="s">
        <v>2007</v>
      </c>
    </row>
    <row r="507">
      <c r="A507" s="50"/>
      <c r="B507" s="50" t="s">
        <v>1040</v>
      </c>
      <c r="C507" s="54" t="s">
        <v>2008</v>
      </c>
      <c r="D507" s="54" t="s">
        <v>1051</v>
      </c>
      <c r="E507" s="55" t="s">
        <v>1133</v>
      </c>
      <c r="F507" s="53">
        <f t="shared" si="26"/>
        <v>2</v>
      </c>
      <c r="G507" s="54" t="s">
        <v>2009</v>
      </c>
      <c r="H507" s="54"/>
      <c r="I507" s="55" t="s">
        <v>2010</v>
      </c>
      <c r="J507" s="55" t="s">
        <v>2011</v>
      </c>
    </row>
    <row r="508">
      <c r="A508" s="50"/>
      <c r="B508" s="50" t="s">
        <v>1040</v>
      </c>
      <c r="C508" s="54" t="s">
        <v>2012</v>
      </c>
      <c r="D508" s="54" t="s">
        <v>1051</v>
      </c>
      <c r="E508" s="55" t="s">
        <v>1136</v>
      </c>
      <c r="F508" s="53">
        <f t="shared" si="26"/>
        <v>2</v>
      </c>
      <c r="G508" s="54" t="s">
        <v>2013</v>
      </c>
      <c r="H508" s="54"/>
      <c r="I508" s="55" t="s">
        <v>2014</v>
      </c>
      <c r="J508" s="55" t="s">
        <v>2015</v>
      </c>
    </row>
    <row r="509">
      <c r="A509" s="50"/>
      <c r="B509" s="50" t="s">
        <v>1040</v>
      </c>
      <c r="C509" s="54" t="s">
        <v>2016</v>
      </c>
      <c r="D509" s="54" t="s">
        <v>1051</v>
      </c>
      <c r="E509" s="55" t="s">
        <v>1139</v>
      </c>
      <c r="F509" s="53">
        <f t="shared" si="26"/>
        <v>2</v>
      </c>
      <c r="G509" s="54" t="s">
        <v>2017</v>
      </c>
      <c r="H509" s="54"/>
      <c r="I509" s="55" t="s">
        <v>2018</v>
      </c>
      <c r="J509" s="55" t="s">
        <v>2019</v>
      </c>
    </row>
    <row r="510">
      <c r="A510" s="50"/>
      <c r="B510" s="50" t="s">
        <v>1040</v>
      </c>
      <c r="C510" s="54" t="s">
        <v>2020</v>
      </c>
      <c r="D510" s="54" t="s">
        <v>1051</v>
      </c>
      <c r="E510" s="55" t="s">
        <v>1142</v>
      </c>
      <c r="F510" s="53">
        <f t="shared" si="26"/>
        <v>2</v>
      </c>
      <c r="G510" s="54" t="s">
        <v>2021</v>
      </c>
      <c r="H510" s="54"/>
      <c r="I510" s="55" t="s">
        <v>2022</v>
      </c>
      <c r="J510" s="55" t="s">
        <v>2023</v>
      </c>
    </row>
    <row r="511">
      <c r="A511" s="50"/>
      <c r="B511" s="50" t="s">
        <v>1040</v>
      </c>
      <c r="C511" s="54" t="s">
        <v>2024</v>
      </c>
      <c r="D511" s="54" t="s">
        <v>1051</v>
      </c>
      <c r="E511" s="55" t="s">
        <v>1145</v>
      </c>
      <c r="F511" s="53">
        <f t="shared" si="26"/>
        <v>2</v>
      </c>
      <c r="G511" s="54" t="s">
        <v>2025</v>
      </c>
      <c r="H511" s="54"/>
      <c r="I511" s="55" t="s">
        <v>2026</v>
      </c>
      <c r="J511" s="55" t="s">
        <v>2027</v>
      </c>
    </row>
    <row r="512">
      <c r="A512" s="50"/>
      <c r="B512" s="50" t="s">
        <v>1040</v>
      </c>
      <c r="C512" s="54" t="s">
        <v>2028</v>
      </c>
      <c r="D512" s="54" t="s">
        <v>16</v>
      </c>
      <c r="E512" s="55" t="s">
        <v>1148</v>
      </c>
      <c r="F512" s="53">
        <f t="shared" si="26"/>
        <v>2</v>
      </c>
      <c r="G512" s="54" t="s">
        <v>2029</v>
      </c>
      <c r="H512" s="54"/>
      <c r="I512" s="55" t="s">
        <v>2030</v>
      </c>
      <c r="J512" s="55" t="s">
        <v>2031</v>
      </c>
    </row>
    <row r="513">
      <c r="A513" s="33"/>
      <c r="B513" s="33"/>
      <c r="C513" s="12"/>
      <c r="D513" s="12"/>
      <c r="E513" s="15"/>
      <c r="F513" s="14"/>
      <c r="G513" s="12"/>
      <c r="H513" s="12"/>
      <c r="I513" s="15"/>
      <c r="J513" s="15"/>
    </row>
    <row r="514">
      <c r="A514" s="50" t="s">
        <v>1241</v>
      </c>
      <c r="B514" s="50" t="s">
        <v>2032</v>
      </c>
      <c r="C514" s="54" t="s">
        <v>2033</v>
      </c>
      <c r="D514" s="54" t="s">
        <v>31</v>
      </c>
      <c r="E514" s="55" t="s">
        <v>2034</v>
      </c>
      <c r="F514" s="53">
        <f t="shared" ref="F514:F527" si="27">counta(I514:J514)</f>
        <v>1</v>
      </c>
      <c r="G514" s="54" t="s">
        <v>2035</v>
      </c>
      <c r="H514" s="54"/>
      <c r="I514" s="55" t="s">
        <v>2036</v>
      </c>
      <c r="J514" s="55"/>
    </row>
    <row r="515">
      <c r="A515" s="50"/>
      <c r="B515" s="50" t="s">
        <v>2032</v>
      </c>
      <c r="C515" s="54" t="s">
        <v>2037</v>
      </c>
      <c r="D515" s="54" t="s">
        <v>31</v>
      </c>
      <c r="E515" s="55" t="s">
        <v>2038</v>
      </c>
      <c r="F515" s="53">
        <f t="shared" si="27"/>
        <v>1</v>
      </c>
      <c r="G515" s="54" t="s">
        <v>2039</v>
      </c>
      <c r="H515" s="54"/>
      <c r="I515" s="55" t="s">
        <v>2040</v>
      </c>
      <c r="J515" s="55"/>
    </row>
    <row r="516">
      <c r="A516" s="50"/>
      <c r="B516" s="50" t="s">
        <v>2032</v>
      </c>
      <c r="C516" s="54" t="s">
        <v>2041</v>
      </c>
      <c r="D516" s="54" t="s">
        <v>26</v>
      </c>
      <c r="E516" s="55" t="s">
        <v>2042</v>
      </c>
      <c r="F516" s="53">
        <f t="shared" si="27"/>
        <v>1</v>
      </c>
      <c r="G516" s="54" t="s">
        <v>2043</v>
      </c>
      <c r="H516" s="54"/>
      <c r="I516" s="55" t="s">
        <v>2044</v>
      </c>
      <c r="J516" s="55"/>
    </row>
    <row r="517">
      <c r="A517" s="50"/>
      <c r="B517" s="50" t="s">
        <v>2032</v>
      </c>
      <c r="C517" s="54" t="s">
        <v>2045</v>
      </c>
      <c r="D517" s="54" t="s">
        <v>145</v>
      </c>
      <c r="E517" s="55" t="s">
        <v>2046</v>
      </c>
      <c r="F517" s="53">
        <f t="shared" si="27"/>
        <v>1</v>
      </c>
      <c r="G517" s="54" t="s">
        <v>2047</v>
      </c>
      <c r="H517" s="54"/>
      <c r="I517" s="55" t="s">
        <v>2048</v>
      </c>
      <c r="J517" s="55"/>
    </row>
    <row r="518">
      <c r="A518" s="50"/>
      <c r="B518" s="50" t="s">
        <v>2032</v>
      </c>
      <c r="C518" s="54" t="s">
        <v>2049</v>
      </c>
      <c r="D518" s="54" t="s">
        <v>483</v>
      </c>
      <c r="E518" s="55" t="s">
        <v>2050</v>
      </c>
      <c r="F518" s="53">
        <f t="shared" si="27"/>
        <v>1</v>
      </c>
      <c r="G518" s="54" t="s">
        <v>2051</v>
      </c>
      <c r="H518" s="54"/>
      <c r="I518" s="55" t="s">
        <v>2052</v>
      </c>
      <c r="J518" s="55"/>
    </row>
    <row r="519">
      <c r="A519" s="50"/>
      <c r="B519" s="50" t="s">
        <v>2032</v>
      </c>
      <c r="C519" s="54" t="s">
        <v>2053</v>
      </c>
      <c r="D519" s="54" t="s">
        <v>483</v>
      </c>
      <c r="E519" s="55" t="s">
        <v>2054</v>
      </c>
      <c r="F519" s="53">
        <f t="shared" si="27"/>
        <v>1</v>
      </c>
      <c r="G519" s="54" t="s">
        <v>2055</v>
      </c>
      <c r="H519" s="54"/>
      <c r="I519" s="55" t="s">
        <v>2056</v>
      </c>
      <c r="J519" s="55"/>
    </row>
    <row r="520">
      <c r="A520" s="50"/>
      <c r="B520" s="50" t="s">
        <v>2032</v>
      </c>
      <c r="C520" s="54" t="s">
        <v>2057</v>
      </c>
      <c r="D520" s="54" t="s">
        <v>483</v>
      </c>
      <c r="E520" s="55" t="s">
        <v>2058</v>
      </c>
      <c r="F520" s="53">
        <f t="shared" si="27"/>
        <v>1</v>
      </c>
      <c r="G520" s="54" t="s">
        <v>2059</v>
      </c>
      <c r="H520" s="54"/>
      <c r="I520" s="55" t="s">
        <v>2060</v>
      </c>
      <c r="J520" s="55"/>
    </row>
    <row r="521">
      <c r="A521" s="50"/>
      <c r="B521" s="50" t="s">
        <v>2032</v>
      </c>
      <c r="C521" s="54" t="s">
        <v>2061</v>
      </c>
      <c r="D521" s="54" t="s">
        <v>483</v>
      </c>
      <c r="E521" s="55" t="s">
        <v>2062</v>
      </c>
      <c r="F521" s="53">
        <f t="shared" si="27"/>
        <v>1</v>
      </c>
      <c r="G521" s="54" t="s">
        <v>2063</v>
      </c>
      <c r="H521" s="54"/>
      <c r="I521" s="55" t="s">
        <v>2064</v>
      </c>
      <c r="J521" s="55"/>
    </row>
    <row r="522">
      <c r="A522" s="50"/>
      <c r="B522" s="50" t="s">
        <v>2032</v>
      </c>
      <c r="C522" s="54" t="s">
        <v>2065</v>
      </c>
      <c r="D522" s="54" t="s">
        <v>2065</v>
      </c>
      <c r="E522" s="55" t="s">
        <v>2066</v>
      </c>
      <c r="F522" s="53">
        <f t="shared" si="27"/>
        <v>1</v>
      </c>
      <c r="G522" s="54" t="s">
        <v>2067</v>
      </c>
      <c r="H522" s="54"/>
      <c r="I522" s="55" t="s">
        <v>2068</v>
      </c>
      <c r="J522" s="55"/>
    </row>
    <row r="523">
      <c r="A523" s="50"/>
      <c r="B523" s="50" t="s">
        <v>2032</v>
      </c>
      <c r="C523" s="54" t="s">
        <v>2069</v>
      </c>
      <c r="D523" s="54" t="s">
        <v>2069</v>
      </c>
      <c r="E523" s="55" t="s">
        <v>2070</v>
      </c>
      <c r="F523" s="53">
        <f t="shared" si="27"/>
        <v>1</v>
      </c>
      <c r="G523" s="54" t="s">
        <v>2071</v>
      </c>
      <c r="H523" s="54"/>
      <c r="I523" s="55" t="s">
        <v>2072</v>
      </c>
      <c r="J523" s="55"/>
    </row>
    <row r="524">
      <c r="A524" s="50"/>
      <c r="B524" s="50" t="s">
        <v>2032</v>
      </c>
      <c r="C524" s="54" t="s">
        <v>2073</v>
      </c>
      <c r="D524" s="54" t="s">
        <v>483</v>
      </c>
      <c r="E524" s="55" t="s">
        <v>2074</v>
      </c>
      <c r="F524" s="53">
        <f t="shared" si="27"/>
        <v>1</v>
      </c>
      <c r="G524" s="54" t="s">
        <v>2075</v>
      </c>
      <c r="H524" s="54"/>
      <c r="I524" s="55" t="s">
        <v>2076</v>
      </c>
      <c r="J524" s="55"/>
    </row>
    <row r="525">
      <c r="A525" s="50"/>
      <c r="B525" s="50" t="s">
        <v>2032</v>
      </c>
      <c r="C525" s="54" t="s">
        <v>2077</v>
      </c>
      <c r="D525" s="54" t="s">
        <v>40</v>
      </c>
      <c r="E525" s="55" t="s">
        <v>2078</v>
      </c>
      <c r="F525" s="53">
        <f t="shared" si="27"/>
        <v>1</v>
      </c>
      <c r="G525" s="54" t="s">
        <v>2079</v>
      </c>
      <c r="H525" s="54"/>
      <c r="I525" s="55" t="s">
        <v>2080</v>
      </c>
      <c r="J525" s="55"/>
    </row>
    <row r="526">
      <c r="A526" s="50"/>
      <c r="B526" s="50" t="s">
        <v>2032</v>
      </c>
      <c r="C526" s="54" t="s">
        <v>2081</v>
      </c>
      <c r="D526" s="54" t="s">
        <v>2081</v>
      </c>
      <c r="E526" s="55" t="s">
        <v>2082</v>
      </c>
      <c r="F526" s="53">
        <f t="shared" si="27"/>
        <v>1</v>
      </c>
      <c r="G526" s="54" t="s">
        <v>2083</v>
      </c>
      <c r="H526" s="54"/>
      <c r="I526" s="55" t="s">
        <v>2084</v>
      </c>
      <c r="J526" s="55"/>
    </row>
    <row r="527">
      <c r="A527" s="50"/>
      <c r="B527" s="50" t="s">
        <v>2032</v>
      </c>
      <c r="C527" s="54" t="s">
        <v>2085</v>
      </c>
      <c r="D527" s="54" t="s">
        <v>40</v>
      </c>
      <c r="E527" s="55" t="s">
        <v>2086</v>
      </c>
      <c r="F527" s="53">
        <f t="shared" si="27"/>
        <v>1</v>
      </c>
      <c r="G527" s="54" t="s">
        <v>2087</v>
      </c>
      <c r="H527" s="54"/>
      <c r="I527" s="55" t="s">
        <v>2088</v>
      </c>
      <c r="J527" s="55"/>
    </row>
    <row r="528">
      <c r="A528" s="33"/>
      <c r="B528" s="33"/>
      <c r="C528" s="12"/>
      <c r="D528" s="12"/>
      <c r="E528" s="15"/>
      <c r="F528" s="14"/>
      <c r="G528" s="12"/>
      <c r="H528" s="12"/>
      <c r="I528" s="15"/>
      <c r="J528" s="15"/>
    </row>
    <row r="529">
      <c r="A529" s="50" t="s">
        <v>1241</v>
      </c>
      <c r="B529" s="50" t="s">
        <v>2089</v>
      </c>
      <c r="C529" s="54" t="s">
        <v>2090</v>
      </c>
      <c r="D529" s="54" t="s">
        <v>31</v>
      </c>
      <c r="E529" s="55" t="s">
        <v>2034</v>
      </c>
      <c r="F529" s="53">
        <f t="shared" ref="F529:F537" si="28">counta(I529:J529)</f>
        <v>1</v>
      </c>
      <c r="G529" s="54" t="s">
        <v>2091</v>
      </c>
      <c r="H529" s="54"/>
      <c r="I529" s="55" t="s">
        <v>2092</v>
      </c>
      <c r="J529" s="55"/>
    </row>
    <row r="530">
      <c r="A530" s="50"/>
      <c r="B530" s="50" t="s">
        <v>2089</v>
      </c>
      <c r="C530" s="54" t="s">
        <v>2093</v>
      </c>
      <c r="D530" s="54" t="s">
        <v>31</v>
      </c>
      <c r="E530" s="60" t="s">
        <v>2038</v>
      </c>
      <c r="F530" s="53">
        <f t="shared" si="28"/>
        <v>1</v>
      </c>
      <c r="G530" s="54" t="s">
        <v>2094</v>
      </c>
      <c r="H530" s="54"/>
      <c r="I530" s="55" t="s">
        <v>2095</v>
      </c>
      <c r="J530" s="55"/>
    </row>
    <row r="531">
      <c r="A531" s="50"/>
      <c r="B531" s="50" t="s">
        <v>2089</v>
      </c>
      <c r="C531" s="54" t="s">
        <v>2096</v>
      </c>
      <c r="D531" s="54" t="s">
        <v>26</v>
      </c>
      <c r="E531" s="55" t="s">
        <v>26</v>
      </c>
      <c r="F531" s="53">
        <f t="shared" si="28"/>
        <v>1</v>
      </c>
      <c r="G531" s="54" t="s">
        <v>2097</v>
      </c>
      <c r="H531" s="54"/>
      <c r="I531" s="55" t="s">
        <v>2098</v>
      </c>
      <c r="J531" s="55"/>
    </row>
    <row r="532">
      <c r="A532" s="50"/>
      <c r="B532" s="50" t="s">
        <v>2089</v>
      </c>
      <c r="C532" s="54" t="s">
        <v>2099</v>
      </c>
      <c r="D532" s="54" t="s">
        <v>145</v>
      </c>
      <c r="E532" s="55" t="s">
        <v>145</v>
      </c>
      <c r="F532" s="53">
        <f t="shared" si="28"/>
        <v>1</v>
      </c>
      <c r="G532" s="54" t="s">
        <v>2100</v>
      </c>
      <c r="H532" s="54"/>
      <c r="I532" s="55" t="s">
        <v>2101</v>
      </c>
      <c r="J532" s="55"/>
    </row>
    <row r="533">
      <c r="A533" s="50"/>
      <c r="B533" s="50" t="s">
        <v>2089</v>
      </c>
      <c r="C533" s="54" t="s">
        <v>2102</v>
      </c>
      <c r="D533" s="54" t="s">
        <v>483</v>
      </c>
      <c r="E533" s="55" t="s">
        <v>2103</v>
      </c>
      <c r="F533" s="53">
        <f t="shared" si="28"/>
        <v>1</v>
      </c>
      <c r="G533" s="54" t="s">
        <v>2104</v>
      </c>
      <c r="H533" s="54"/>
      <c r="I533" s="55" t="s">
        <v>2105</v>
      </c>
      <c r="J533" s="55"/>
    </row>
    <row r="534">
      <c r="A534" s="50"/>
      <c r="B534" s="50" t="s">
        <v>2089</v>
      </c>
      <c r="C534" s="54" t="s">
        <v>2106</v>
      </c>
      <c r="D534" s="54" t="s">
        <v>483</v>
      </c>
      <c r="E534" s="55" t="s">
        <v>2107</v>
      </c>
      <c r="F534" s="53">
        <f t="shared" si="28"/>
        <v>1</v>
      </c>
      <c r="G534" s="54" t="s">
        <v>2108</v>
      </c>
      <c r="H534" s="54"/>
      <c r="I534" s="55" t="s">
        <v>2109</v>
      </c>
      <c r="J534" s="55"/>
    </row>
    <row r="535">
      <c r="A535" s="50"/>
      <c r="B535" s="50" t="s">
        <v>2089</v>
      </c>
      <c r="C535" s="54" t="s">
        <v>2110</v>
      </c>
      <c r="D535" s="54" t="s">
        <v>483</v>
      </c>
      <c r="E535" s="55" t="s">
        <v>2111</v>
      </c>
      <c r="F535" s="53">
        <f t="shared" si="28"/>
        <v>1</v>
      </c>
      <c r="G535" s="54" t="s">
        <v>2112</v>
      </c>
      <c r="H535" s="54"/>
      <c r="I535" s="55" t="s">
        <v>2113</v>
      </c>
      <c r="J535" s="55"/>
    </row>
    <row r="536">
      <c r="A536" s="50"/>
      <c r="B536" s="50" t="s">
        <v>2089</v>
      </c>
      <c r="C536" s="54" t="s">
        <v>2114</v>
      </c>
      <c r="D536" s="54" t="s">
        <v>483</v>
      </c>
      <c r="E536" s="55" t="s">
        <v>2115</v>
      </c>
      <c r="F536" s="53">
        <f t="shared" si="28"/>
        <v>1</v>
      </c>
      <c r="G536" s="54" t="s">
        <v>2116</v>
      </c>
      <c r="H536" s="54"/>
      <c r="I536" s="55" t="s">
        <v>2117</v>
      </c>
      <c r="J536" s="55"/>
    </row>
    <row r="537">
      <c r="A537" s="50"/>
      <c r="B537" s="50" t="s">
        <v>2089</v>
      </c>
      <c r="C537" s="54" t="s">
        <v>2118</v>
      </c>
      <c r="D537" s="54" t="s">
        <v>483</v>
      </c>
      <c r="E537" s="60" t="s">
        <v>2062</v>
      </c>
      <c r="F537" s="53">
        <f t="shared" si="28"/>
        <v>1</v>
      </c>
      <c r="G537" s="54" t="s">
        <v>2119</v>
      </c>
      <c r="H537" s="54"/>
      <c r="I537" s="70" t="s">
        <v>2120</v>
      </c>
      <c r="J537" s="55"/>
    </row>
    <row r="538">
      <c r="A538" s="33"/>
      <c r="B538" s="12"/>
      <c r="C538" s="12"/>
      <c r="D538" s="12"/>
      <c r="E538" s="15"/>
      <c r="F538" s="14"/>
      <c r="G538" s="12"/>
      <c r="H538" s="12"/>
      <c r="I538" s="40"/>
      <c r="J538" s="15"/>
    </row>
    <row r="539">
      <c r="A539" s="50" t="s">
        <v>1241</v>
      </c>
      <c r="B539" s="54" t="s">
        <v>2121</v>
      </c>
      <c r="C539" s="54" t="s">
        <v>2122</v>
      </c>
      <c r="D539" s="54" t="s">
        <v>31</v>
      </c>
      <c r="E539" s="55" t="s">
        <v>2123</v>
      </c>
      <c r="F539" s="53">
        <f t="shared" ref="F539:F548" si="29">counta(I539:J539)</f>
        <v>1</v>
      </c>
      <c r="G539" s="54" t="s">
        <v>2124</v>
      </c>
      <c r="H539" s="54"/>
      <c r="I539" s="56"/>
      <c r="J539" s="55" t="s">
        <v>2125</v>
      </c>
    </row>
    <row r="540">
      <c r="A540" s="50"/>
      <c r="B540" s="54" t="s">
        <v>2121</v>
      </c>
      <c r="C540" s="54" t="s">
        <v>2126</v>
      </c>
      <c r="D540" s="54" t="s">
        <v>40</v>
      </c>
      <c r="E540" s="55" t="s">
        <v>2127</v>
      </c>
      <c r="F540" s="53">
        <f t="shared" si="29"/>
        <v>1</v>
      </c>
      <c r="G540" s="54" t="s">
        <v>2128</v>
      </c>
      <c r="H540" s="54"/>
      <c r="I540" s="56"/>
      <c r="J540" s="55" t="s">
        <v>2129</v>
      </c>
    </row>
    <row r="541">
      <c r="A541" s="50"/>
      <c r="B541" s="54" t="s">
        <v>2121</v>
      </c>
      <c r="C541" s="54" t="s">
        <v>2130</v>
      </c>
      <c r="D541" s="54" t="s">
        <v>40</v>
      </c>
      <c r="E541" s="55" t="s">
        <v>2131</v>
      </c>
      <c r="F541" s="53">
        <f t="shared" si="29"/>
        <v>1</v>
      </c>
      <c r="G541" s="54" t="s">
        <v>2132</v>
      </c>
      <c r="H541" s="54"/>
      <c r="I541" s="56"/>
      <c r="J541" s="55" t="s">
        <v>2133</v>
      </c>
    </row>
    <row r="542">
      <c r="A542" s="50"/>
      <c r="B542" s="54" t="s">
        <v>2121</v>
      </c>
      <c r="C542" s="54" t="s">
        <v>2134</v>
      </c>
      <c r="D542" s="54" t="s">
        <v>2134</v>
      </c>
      <c r="E542" s="55" t="s">
        <v>2135</v>
      </c>
      <c r="F542" s="53">
        <f t="shared" si="29"/>
        <v>1</v>
      </c>
      <c r="G542" s="54" t="s">
        <v>2136</v>
      </c>
      <c r="H542" s="54"/>
      <c r="I542" s="56"/>
      <c r="J542" s="55" t="s">
        <v>2137</v>
      </c>
    </row>
    <row r="543">
      <c r="A543" s="50"/>
      <c r="B543" s="54" t="s">
        <v>2121</v>
      </c>
      <c r="C543" s="54" t="s">
        <v>2138</v>
      </c>
      <c r="D543" s="54" t="s">
        <v>16</v>
      </c>
      <c r="E543" s="55" t="s">
        <v>2139</v>
      </c>
      <c r="F543" s="53">
        <f t="shared" si="29"/>
        <v>1</v>
      </c>
      <c r="G543" s="54" t="s">
        <v>2140</v>
      </c>
      <c r="H543" s="54"/>
      <c r="I543" s="56"/>
      <c r="J543" s="55" t="s">
        <v>2141</v>
      </c>
    </row>
    <row r="544">
      <c r="A544" s="50"/>
      <c r="B544" s="54" t="s">
        <v>2121</v>
      </c>
      <c r="C544" s="54" t="s">
        <v>2142</v>
      </c>
      <c r="D544" s="54" t="s">
        <v>40</v>
      </c>
      <c r="E544" s="55" t="s">
        <v>2143</v>
      </c>
      <c r="F544" s="53">
        <f t="shared" si="29"/>
        <v>1</v>
      </c>
      <c r="G544" s="54" t="s">
        <v>2144</v>
      </c>
      <c r="H544" s="54"/>
      <c r="I544" s="56"/>
      <c r="J544" s="55" t="s">
        <v>2145</v>
      </c>
    </row>
    <row r="545">
      <c r="A545" s="50"/>
      <c r="B545" s="54" t="s">
        <v>2121</v>
      </c>
      <c r="C545" s="54" t="s">
        <v>2146</v>
      </c>
      <c r="D545" s="54" t="s">
        <v>26</v>
      </c>
      <c r="E545" s="55" t="s">
        <v>2147</v>
      </c>
      <c r="F545" s="53">
        <f t="shared" si="29"/>
        <v>1</v>
      </c>
      <c r="G545" s="54" t="s">
        <v>2148</v>
      </c>
      <c r="H545" s="54"/>
      <c r="I545" s="56"/>
      <c r="J545" s="55" t="s">
        <v>2149</v>
      </c>
    </row>
    <row r="546">
      <c r="A546" s="50"/>
      <c r="B546" s="54" t="s">
        <v>2121</v>
      </c>
      <c r="C546" s="54" t="s">
        <v>2150</v>
      </c>
      <c r="D546" s="54" t="s">
        <v>145</v>
      </c>
      <c r="E546" s="55" t="s">
        <v>2151</v>
      </c>
      <c r="F546" s="53">
        <f t="shared" si="29"/>
        <v>1</v>
      </c>
      <c r="G546" s="54" t="s">
        <v>2152</v>
      </c>
      <c r="H546" s="54"/>
      <c r="I546" s="56"/>
      <c r="J546" s="55" t="s">
        <v>2153</v>
      </c>
    </row>
    <row r="547">
      <c r="A547" s="50"/>
      <c r="B547" s="54" t="s">
        <v>2121</v>
      </c>
      <c r="C547" s="54" t="s">
        <v>2154</v>
      </c>
      <c r="D547" s="54" t="s">
        <v>2154</v>
      </c>
      <c r="E547" s="55" t="s">
        <v>2155</v>
      </c>
      <c r="F547" s="53">
        <f t="shared" si="29"/>
        <v>1</v>
      </c>
      <c r="G547" s="54" t="s">
        <v>2156</v>
      </c>
      <c r="H547" s="54"/>
      <c r="I547" s="56"/>
      <c r="J547" s="55" t="s">
        <v>2157</v>
      </c>
    </row>
    <row r="548">
      <c r="A548" s="50"/>
      <c r="B548" s="54" t="s">
        <v>2121</v>
      </c>
      <c r="C548" s="54" t="s">
        <v>2158</v>
      </c>
      <c r="D548" s="54" t="s">
        <v>2158</v>
      </c>
      <c r="E548" s="55" t="s">
        <v>2159</v>
      </c>
      <c r="F548" s="53">
        <f t="shared" si="29"/>
        <v>1</v>
      </c>
      <c r="G548" s="54" t="s">
        <v>2160</v>
      </c>
      <c r="H548" s="54"/>
      <c r="I548" s="56"/>
      <c r="J548" s="55" t="s">
        <v>2161</v>
      </c>
    </row>
    <row r="549">
      <c r="A549" s="33"/>
      <c r="B549" s="33"/>
      <c r="C549" s="12"/>
      <c r="D549" s="12"/>
      <c r="E549" s="15"/>
      <c r="F549" s="14"/>
      <c r="G549" s="12"/>
      <c r="H549" s="12"/>
      <c r="I549" s="15"/>
      <c r="J549" s="15"/>
    </row>
    <row r="550">
      <c r="A550" s="50" t="s">
        <v>1241</v>
      </c>
      <c r="B550" s="50" t="s">
        <v>2162</v>
      </c>
      <c r="C550" s="54" t="s">
        <v>2163</v>
      </c>
      <c r="D550" s="54" t="s">
        <v>31</v>
      </c>
      <c r="E550" s="55" t="s">
        <v>2164</v>
      </c>
      <c r="F550" s="53">
        <f t="shared" ref="F550:F604" si="30">counta(I550:J550)</f>
        <v>2</v>
      </c>
      <c r="G550" s="54" t="s">
        <v>2165</v>
      </c>
      <c r="H550" s="54"/>
      <c r="I550" s="55" t="s">
        <v>2166</v>
      </c>
      <c r="J550" s="55" t="s">
        <v>2167</v>
      </c>
    </row>
    <row r="551">
      <c r="A551" s="50"/>
      <c r="B551" s="50" t="s">
        <v>2162</v>
      </c>
      <c r="C551" s="54" t="s">
        <v>2168</v>
      </c>
      <c r="D551" s="54" t="s">
        <v>26</v>
      </c>
      <c r="E551" s="52" t="s">
        <v>2169</v>
      </c>
      <c r="F551" s="53">
        <f t="shared" si="30"/>
        <v>2</v>
      </c>
      <c r="G551" s="54" t="s">
        <v>2170</v>
      </c>
      <c r="H551" s="54"/>
      <c r="I551" s="55" t="s">
        <v>2171</v>
      </c>
      <c r="J551" s="55" t="s">
        <v>2172</v>
      </c>
    </row>
    <row r="552">
      <c r="A552" s="50"/>
      <c r="B552" s="50" t="s">
        <v>2162</v>
      </c>
      <c r="C552" s="54" t="s">
        <v>2173</v>
      </c>
      <c r="D552" s="54" t="s">
        <v>145</v>
      </c>
      <c r="E552" s="52" t="s">
        <v>2174</v>
      </c>
      <c r="F552" s="53">
        <f t="shared" si="30"/>
        <v>2</v>
      </c>
      <c r="G552" s="54" t="s">
        <v>2175</v>
      </c>
      <c r="H552" s="54"/>
      <c r="I552" s="55" t="s">
        <v>2176</v>
      </c>
      <c r="J552" s="55" t="s">
        <v>2177</v>
      </c>
    </row>
    <row r="553">
      <c r="A553" s="50"/>
      <c r="B553" s="50" t="s">
        <v>2162</v>
      </c>
      <c r="C553" s="54" t="s">
        <v>2178</v>
      </c>
      <c r="D553" s="54" t="s">
        <v>26</v>
      </c>
      <c r="E553" s="52" t="s">
        <v>2179</v>
      </c>
      <c r="F553" s="53">
        <f t="shared" si="30"/>
        <v>2</v>
      </c>
      <c r="G553" s="54" t="s">
        <v>2180</v>
      </c>
      <c r="H553" s="54"/>
      <c r="I553" s="55" t="s">
        <v>2181</v>
      </c>
      <c r="J553" s="55" t="s">
        <v>2182</v>
      </c>
    </row>
    <row r="554">
      <c r="A554" s="50"/>
      <c r="B554" s="50" t="s">
        <v>2162</v>
      </c>
      <c r="C554" s="54" t="s">
        <v>2183</v>
      </c>
      <c r="D554" s="54" t="s">
        <v>145</v>
      </c>
      <c r="E554" s="52" t="s">
        <v>2184</v>
      </c>
      <c r="F554" s="53">
        <f t="shared" si="30"/>
        <v>2</v>
      </c>
      <c r="G554" s="54" t="s">
        <v>2185</v>
      </c>
      <c r="H554" s="54"/>
      <c r="I554" s="55" t="s">
        <v>2186</v>
      </c>
      <c r="J554" s="55" t="s">
        <v>2187</v>
      </c>
    </row>
    <row r="555">
      <c r="A555" s="50"/>
      <c r="B555" s="50" t="s">
        <v>2162</v>
      </c>
      <c r="C555" s="54" t="s">
        <v>2188</v>
      </c>
      <c r="D555" s="54" t="s">
        <v>2189</v>
      </c>
      <c r="E555" s="55" t="s">
        <v>2190</v>
      </c>
      <c r="F555" s="53">
        <f t="shared" si="30"/>
        <v>2</v>
      </c>
      <c r="G555" s="54" t="s">
        <v>2191</v>
      </c>
      <c r="H555" s="54"/>
      <c r="I555" s="55" t="s">
        <v>2192</v>
      </c>
      <c r="J555" s="55" t="s">
        <v>2193</v>
      </c>
    </row>
    <row r="556">
      <c r="A556" s="50"/>
      <c r="B556" s="50" t="s">
        <v>2162</v>
      </c>
      <c r="C556" s="54" t="s">
        <v>2194</v>
      </c>
      <c r="D556" s="54" t="s">
        <v>2195</v>
      </c>
      <c r="E556" s="55" t="s">
        <v>2196</v>
      </c>
      <c r="F556" s="53">
        <f t="shared" si="30"/>
        <v>2</v>
      </c>
      <c r="G556" s="54" t="s">
        <v>2197</v>
      </c>
      <c r="H556" s="54"/>
      <c r="I556" s="55" t="s">
        <v>2198</v>
      </c>
      <c r="J556" s="55" t="s">
        <v>2199</v>
      </c>
    </row>
    <row r="557">
      <c r="A557" s="50"/>
      <c r="B557" s="50" t="s">
        <v>2162</v>
      </c>
      <c r="C557" s="54" t="s">
        <v>2200</v>
      </c>
      <c r="D557" s="54" t="s">
        <v>2201</v>
      </c>
      <c r="E557" s="55" t="s">
        <v>2202</v>
      </c>
      <c r="F557" s="53">
        <f t="shared" si="30"/>
        <v>2</v>
      </c>
      <c r="G557" s="54" t="s">
        <v>2203</v>
      </c>
      <c r="H557" s="54"/>
      <c r="I557" s="55" t="s">
        <v>2204</v>
      </c>
      <c r="J557" s="55" t="s">
        <v>2205</v>
      </c>
    </row>
    <row r="558">
      <c r="A558" s="50"/>
      <c r="B558" s="50" t="s">
        <v>2162</v>
      </c>
      <c r="C558" s="54" t="s">
        <v>2206</v>
      </c>
      <c r="D558" s="54" t="s">
        <v>16</v>
      </c>
      <c r="E558" s="55" t="s">
        <v>2207</v>
      </c>
      <c r="F558" s="53">
        <f t="shared" si="30"/>
        <v>2</v>
      </c>
      <c r="G558" s="54" t="s">
        <v>2208</v>
      </c>
      <c r="H558" s="54"/>
      <c r="I558" s="55" t="s">
        <v>2209</v>
      </c>
      <c r="J558" s="55" t="s">
        <v>2210</v>
      </c>
    </row>
    <row r="559">
      <c r="A559" s="50"/>
      <c r="B559" s="50" t="s">
        <v>2162</v>
      </c>
      <c r="C559" s="54" t="s">
        <v>2211</v>
      </c>
      <c r="D559" s="54" t="s">
        <v>26</v>
      </c>
      <c r="E559" s="52" t="s">
        <v>2212</v>
      </c>
      <c r="F559" s="53">
        <f t="shared" si="30"/>
        <v>2</v>
      </c>
      <c r="G559" s="54" t="s">
        <v>2213</v>
      </c>
      <c r="H559" s="54"/>
      <c r="I559" s="55" t="s">
        <v>2214</v>
      </c>
      <c r="J559" s="55" t="s">
        <v>2215</v>
      </c>
    </row>
    <row r="560">
      <c r="A560" s="50"/>
      <c r="B560" s="50" t="s">
        <v>2162</v>
      </c>
      <c r="C560" s="54" t="s">
        <v>2216</v>
      </c>
      <c r="D560" s="54" t="s">
        <v>145</v>
      </c>
      <c r="E560" s="52" t="s">
        <v>2217</v>
      </c>
      <c r="F560" s="53">
        <f t="shared" si="30"/>
        <v>2</v>
      </c>
      <c r="G560" s="54" t="s">
        <v>2218</v>
      </c>
      <c r="H560" s="54"/>
      <c r="I560" s="55" t="s">
        <v>2219</v>
      </c>
      <c r="J560" s="55" t="s">
        <v>2220</v>
      </c>
    </row>
    <row r="561">
      <c r="A561" s="50"/>
      <c r="B561" s="50" t="s">
        <v>2162</v>
      </c>
      <c r="C561" s="54" t="s">
        <v>2221</v>
      </c>
      <c r="D561" s="54" t="s">
        <v>26</v>
      </c>
      <c r="E561" s="52" t="s">
        <v>2222</v>
      </c>
      <c r="F561" s="53">
        <f t="shared" si="30"/>
        <v>2</v>
      </c>
      <c r="G561" s="54" t="s">
        <v>2223</v>
      </c>
      <c r="H561" s="54"/>
      <c r="I561" s="55" t="s">
        <v>2224</v>
      </c>
      <c r="J561" s="55" t="s">
        <v>2225</v>
      </c>
    </row>
    <row r="562">
      <c r="A562" s="50"/>
      <c r="B562" s="50" t="s">
        <v>2162</v>
      </c>
      <c r="C562" s="54" t="s">
        <v>2226</v>
      </c>
      <c r="D562" s="54" t="s">
        <v>145</v>
      </c>
      <c r="E562" s="52" t="s">
        <v>2227</v>
      </c>
      <c r="F562" s="53">
        <f t="shared" si="30"/>
        <v>2</v>
      </c>
      <c r="G562" s="54" t="s">
        <v>2228</v>
      </c>
      <c r="H562" s="54"/>
      <c r="I562" s="55" t="s">
        <v>2229</v>
      </c>
      <c r="J562" s="55" t="s">
        <v>2230</v>
      </c>
    </row>
    <row r="563">
      <c r="A563" s="50"/>
      <c r="B563" s="50" t="s">
        <v>2162</v>
      </c>
      <c r="C563" s="54" t="s">
        <v>2231</v>
      </c>
      <c r="D563" s="54" t="s">
        <v>2189</v>
      </c>
      <c r="E563" s="55" t="s">
        <v>2232</v>
      </c>
      <c r="F563" s="53">
        <f t="shared" si="30"/>
        <v>2</v>
      </c>
      <c r="G563" s="54" t="s">
        <v>2233</v>
      </c>
      <c r="H563" s="54"/>
      <c r="I563" s="55" t="s">
        <v>2234</v>
      </c>
      <c r="J563" s="55" t="s">
        <v>2235</v>
      </c>
    </row>
    <row r="564">
      <c r="A564" s="50"/>
      <c r="B564" s="50" t="s">
        <v>2162</v>
      </c>
      <c r="C564" s="54" t="s">
        <v>2236</v>
      </c>
      <c r="D564" s="54" t="s">
        <v>2195</v>
      </c>
      <c r="E564" s="55" t="s">
        <v>2237</v>
      </c>
      <c r="F564" s="53">
        <f t="shared" si="30"/>
        <v>2</v>
      </c>
      <c r="G564" s="54" t="s">
        <v>2238</v>
      </c>
      <c r="H564" s="54"/>
      <c r="I564" s="55" t="s">
        <v>2239</v>
      </c>
      <c r="J564" s="55" t="s">
        <v>2240</v>
      </c>
    </row>
    <row r="565">
      <c r="A565" s="50"/>
      <c r="B565" s="50" t="s">
        <v>2162</v>
      </c>
      <c r="C565" s="54" t="s">
        <v>2241</v>
      </c>
      <c r="D565" s="54" t="s">
        <v>2201</v>
      </c>
      <c r="E565" s="55" t="s">
        <v>2242</v>
      </c>
      <c r="F565" s="53">
        <f t="shared" si="30"/>
        <v>2</v>
      </c>
      <c r="G565" s="54" t="s">
        <v>2243</v>
      </c>
      <c r="H565" s="54"/>
      <c r="I565" s="55" t="s">
        <v>2244</v>
      </c>
      <c r="J565" s="55" t="s">
        <v>2245</v>
      </c>
    </row>
    <row r="566">
      <c r="A566" s="50"/>
      <c r="B566" s="50" t="s">
        <v>2162</v>
      </c>
      <c r="C566" s="54" t="s">
        <v>2246</v>
      </c>
      <c r="D566" s="54" t="s">
        <v>16</v>
      </c>
      <c r="E566" s="55" t="s">
        <v>2247</v>
      </c>
      <c r="F566" s="53">
        <f t="shared" si="30"/>
        <v>2</v>
      </c>
      <c r="G566" s="54" t="s">
        <v>2248</v>
      </c>
      <c r="H566" s="54"/>
      <c r="I566" s="55" t="s">
        <v>2249</v>
      </c>
      <c r="J566" s="55" t="s">
        <v>2250</v>
      </c>
    </row>
    <row r="567">
      <c r="A567" s="50"/>
      <c r="B567" s="50" t="s">
        <v>2162</v>
      </c>
      <c r="C567" s="54" t="s">
        <v>2251</v>
      </c>
      <c r="D567" s="54" t="s">
        <v>26</v>
      </c>
      <c r="E567" s="52" t="s">
        <v>2252</v>
      </c>
      <c r="F567" s="53">
        <f t="shared" si="30"/>
        <v>2</v>
      </c>
      <c r="G567" s="54" t="s">
        <v>2253</v>
      </c>
      <c r="H567" s="54"/>
      <c r="I567" s="55" t="s">
        <v>2254</v>
      </c>
      <c r="J567" s="55" t="s">
        <v>2255</v>
      </c>
    </row>
    <row r="568">
      <c r="A568" s="50"/>
      <c r="B568" s="50" t="s">
        <v>2162</v>
      </c>
      <c r="C568" s="54" t="s">
        <v>2256</v>
      </c>
      <c r="D568" s="54" t="s">
        <v>145</v>
      </c>
      <c r="E568" s="52" t="s">
        <v>2257</v>
      </c>
      <c r="F568" s="53">
        <f t="shared" si="30"/>
        <v>2</v>
      </c>
      <c r="G568" s="54" t="s">
        <v>2258</v>
      </c>
      <c r="H568" s="54"/>
      <c r="I568" s="55" t="s">
        <v>2259</v>
      </c>
      <c r="J568" s="55" t="s">
        <v>2260</v>
      </c>
    </row>
    <row r="569">
      <c r="A569" s="50"/>
      <c r="B569" s="50" t="s">
        <v>2162</v>
      </c>
      <c r="C569" s="54" t="s">
        <v>2261</v>
      </c>
      <c r="D569" s="54" t="s">
        <v>26</v>
      </c>
      <c r="E569" s="52" t="s">
        <v>2262</v>
      </c>
      <c r="F569" s="53">
        <f t="shared" si="30"/>
        <v>2</v>
      </c>
      <c r="G569" s="54" t="s">
        <v>2263</v>
      </c>
      <c r="H569" s="54"/>
      <c r="I569" s="55" t="s">
        <v>2264</v>
      </c>
      <c r="J569" s="55" t="s">
        <v>2265</v>
      </c>
    </row>
    <row r="570">
      <c r="A570" s="50"/>
      <c r="B570" s="50" t="s">
        <v>2162</v>
      </c>
      <c r="C570" s="54" t="s">
        <v>2266</v>
      </c>
      <c r="D570" s="54" t="s">
        <v>145</v>
      </c>
      <c r="E570" s="52" t="s">
        <v>2267</v>
      </c>
      <c r="F570" s="53">
        <f t="shared" si="30"/>
        <v>2</v>
      </c>
      <c r="G570" s="54" t="s">
        <v>2268</v>
      </c>
      <c r="H570" s="54"/>
      <c r="I570" s="55" t="s">
        <v>2269</v>
      </c>
      <c r="J570" s="55" t="s">
        <v>2270</v>
      </c>
    </row>
    <row r="571">
      <c r="A571" s="50"/>
      <c r="B571" s="50" t="s">
        <v>2162</v>
      </c>
      <c r="C571" s="54" t="s">
        <v>2271</v>
      </c>
      <c r="D571" s="54" t="s">
        <v>2189</v>
      </c>
      <c r="E571" s="55" t="s">
        <v>2272</v>
      </c>
      <c r="F571" s="53">
        <f t="shared" si="30"/>
        <v>2</v>
      </c>
      <c r="G571" s="54" t="s">
        <v>2273</v>
      </c>
      <c r="H571" s="54"/>
      <c r="I571" s="55" t="s">
        <v>2274</v>
      </c>
      <c r="J571" s="55" t="s">
        <v>2275</v>
      </c>
    </row>
    <row r="572">
      <c r="A572" s="50"/>
      <c r="B572" s="50" t="s">
        <v>2162</v>
      </c>
      <c r="C572" s="54" t="s">
        <v>2276</v>
      </c>
      <c r="D572" s="54" t="s">
        <v>2195</v>
      </c>
      <c r="E572" s="55" t="s">
        <v>2277</v>
      </c>
      <c r="F572" s="53">
        <f t="shared" si="30"/>
        <v>2</v>
      </c>
      <c r="G572" s="54" t="s">
        <v>2278</v>
      </c>
      <c r="H572" s="54"/>
      <c r="I572" s="55" t="s">
        <v>2279</v>
      </c>
      <c r="J572" s="55" t="s">
        <v>2280</v>
      </c>
    </row>
    <row r="573">
      <c r="A573" s="50"/>
      <c r="B573" s="50" t="s">
        <v>2162</v>
      </c>
      <c r="C573" s="54" t="s">
        <v>2281</v>
      </c>
      <c r="D573" s="54" t="s">
        <v>2201</v>
      </c>
      <c r="E573" s="55" t="s">
        <v>2282</v>
      </c>
      <c r="F573" s="53">
        <f t="shared" si="30"/>
        <v>2</v>
      </c>
      <c r="G573" s="54" t="s">
        <v>2283</v>
      </c>
      <c r="H573" s="54"/>
      <c r="I573" s="55" t="s">
        <v>2284</v>
      </c>
      <c r="J573" s="55" t="s">
        <v>2285</v>
      </c>
    </row>
    <row r="574">
      <c r="A574" s="50"/>
      <c r="B574" s="50" t="s">
        <v>2162</v>
      </c>
      <c r="C574" s="54" t="s">
        <v>2286</v>
      </c>
      <c r="D574" s="54" t="s">
        <v>16</v>
      </c>
      <c r="E574" s="55" t="s">
        <v>2287</v>
      </c>
      <c r="F574" s="53">
        <f t="shared" si="30"/>
        <v>2</v>
      </c>
      <c r="G574" s="54" t="s">
        <v>2288</v>
      </c>
      <c r="H574" s="54"/>
      <c r="I574" s="55" t="s">
        <v>2289</v>
      </c>
      <c r="J574" s="55" t="s">
        <v>2290</v>
      </c>
    </row>
    <row r="575">
      <c r="A575" s="50"/>
      <c r="B575" s="50" t="s">
        <v>2162</v>
      </c>
      <c r="C575" s="54" t="s">
        <v>2291</v>
      </c>
      <c r="D575" s="54" t="s">
        <v>26</v>
      </c>
      <c r="E575" s="52" t="s">
        <v>2292</v>
      </c>
      <c r="F575" s="53">
        <f t="shared" si="30"/>
        <v>2</v>
      </c>
      <c r="G575" s="54" t="s">
        <v>2293</v>
      </c>
      <c r="H575" s="54"/>
      <c r="I575" s="55" t="s">
        <v>2294</v>
      </c>
      <c r="J575" s="55" t="s">
        <v>2295</v>
      </c>
    </row>
    <row r="576">
      <c r="A576" s="50"/>
      <c r="B576" s="50" t="s">
        <v>2162</v>
      </c>
      <c r="C576" s="54" t="s">
        <v>2296</v>
      </c>
      <c r="D576" s="54" t="s">
        <v>145</v>
      </c>
      <c r="E576" s="52" t="s">
        <v>2297</v>
      </c>
      <c r="F576" s="53">
        <f t="shared" si="30"/>
        <v>2</v>
      </c>
      <c r="G576" s="54" t="s">
        <v>2298</v>
      </c>
      <c r="H576" s="54"/>
      <c r="I576" s="55" t="s">
        <v>2299</v>
      </c>
      <c r="J576" s="55" t="s">
        <v>2300</v>
      </c>
    </row>
    <row r="577">
      <c r="A577" s="50"/>
      <c r="B577" s="50" t="s">
        <v>2162</v>
      </c>
      <c r="C577" s="54" t="s">
        <v>2301</v>
      </c>
      <c r="D577" s="54" t="s">
        <v>26</v>
      </c>
      <c r="E577" s="52" t="s">
        <v>2302</v>
      </c>
      <c r="F577" s="53">
        <f t="shared" si="30"/>
        <v>2</v>
      </c>
      <c r="G577" s="54" t="s">
        <v>2303</v>
      </c>
      <c r="H577" s="54"/>
      <c r="I577" s="55" t="s">
        <v>2304</v>
      </c>
      <c r="J577" s="55" t="s">
        <v>2305</v>
      </c>
    </row>
    <row r="578">
      <c r="A578" s="50"/>
      <c r="B578" s="50" t="s">
        <v>2162</v>
      </c>
      <c r="C578" s="54" t="s">
        <v>2306</v>
      </c>
      <c r="D578" s="54" t="s">
        <v>145</v>
      </c>
      <c r="E578" s="52" t="s">
        <v>2307</v>
      </c>
      <c r="F578" s="53">
        <f t="shared" si="30"/>
        <v>2</v>
      </c>
      <c r="G578" s="54" t="s">
        <v>2308</v>
      </c>
      <c r="H578" s="54"/>
      <c r="I578" s="55" t="s">
        <v>2309</v>
      </c>
      <c r="J578" s="55" t="s">
        <v>2310</v>
      </c>
    </row>
    <row r="579">
      <c r="A579" s="50"/>
      <c r="B579" s="50" t="s">
        <v>2162</v>
      </c>
      <c r="C579" s="54" t="s">
        <v>2311</v>
      </c>
      <c r="D579" s="54" t="s">
        <v>2189</v>
      </c>
      <c r="E579" s="55" t="s">
        <v>2312</v>
      </c>
      <c r="F579" s="53">
        <f t="shared" si="30"/>
        <v>2</v>
      </c>
      <c r="G579" s="54" t="s">
        <v>2313</v>
      </c>
      <c r="H579" s="54"/>
      <c r="I579" s="55" t="s">
        <v>2314</v>
      </c>
      <c r="J579" s="55" t="s">
        <v>2315</v>
      </c>
    </row>
    <row r="580">
      <c r="A580" s="50"/>
      <c r="B580" s="50" t="s">
        <v>2162</v>
      </c>
      <c r="C580" s="54" t="s">
        <v>2316</v>
      </c>
      <c r="D580" s="54" t="s">
        <v>2195</v>
      </c>
      <c r="E580" s="55" t="s">
        <v>2317</v>
      </c>
      <c r="F580" s="53">
        <f t="shared" si="30"/>
        <v>2</v>
      </c>
      <c r="G580" s="54" t="s">
        <v>2318</v>
      </c>
      <c r="H580" s="54"/>
      <c r="I580" s="55" t="s">
        <v>2319</v>
      </c>
      <c r="J580" s="55" t="s">
        <v>2320</v>
      </c>
    </row>
    <row r="581">
      <c r="A581" s="50"/>
      <c r="B581" s="50" t="s">
        <v>2162</v>
      </c>
      <c r="C581" s="54" t="s">
        <v>2321</v>
      </c>
      <c r="D581" s="54" t="s">
        <v>2201</v>
      </c>
      <c r="E581" s="55" t="s">
        <v>2322</v>
      </c>
      <c r="F581" s="53">
        <f t="shared" si="30"/>
        <v>2</v>
      </c>
      <c r="G581" s="54" t="s">
        <v>2323</v>
      </c>
      <c r="H581" s="54"/>
      <c r="I581" s="55" t="s">
        <v>2324</v>
      </c>
      <c r="J581" s="55" t="s">
        <v>2325</v>
      </c>
    </row>
    <row r="582">
      <c r="A582" s="50"/>
      <c r="B582" s="50" t="s">
        <v>2162</v>
      </c>
      <c r="C582" s="54" t="s">
        <v>2326</v>
      </c>
      <c r="D582" s="54" t="s">
        <v>16</v>
      </c>
      <c r="E582" s="55" t="s">
        <v>2327</v>
      </c>
      <c r="F582" s="53">
        <f t="shared" si="30"/>
        <v>2</v>
      </c>
      <c r="G582" s="54" t="s">
        <v>2328</v>
      </c>
      <c r="H582" s="54"/>
      <c r="I582" s="55" t="s">
        <v>2329</v>
      </c>
      <c r="J582" s="55" t="s">
        <v>2330</v>
      </c>
    </row>
    <row r="583">
      <c r="A583" s="50"/>
      <c r="B583" s="50" t="s">
        <v>2162</v>
      </c>
      <c r="C583" s="54" t="s">
        <v>2331</v>
      </c>
      <c r="D583" s="54" t="s">
        <v>2331</v>
      </c>
      <c r="E583" s="55" t="s">
        <v>2332</v>
      </c>
      <c r="F583" s="53">
        <f t="shared" si="30"/>
        <v>2</v>
      </c>
      <c r="G583" s="54" t="s">
        <v>2333</v>
      </c>
      <c r="H583" s="54"/>
      <c r="I583" s="55" t="s">
        <v>2334</v>
      </c>
      <c r="J583" s="55" t="s">
        <v>2335</v>
      </c>
    </row>
    <row r="584">
      <c r="A584" s="50"/>
      <c r="B584" s="50" t="s">
        <v>2162</v>
      </c>
      <c r="C584" s="54" t="s">
        <v>2336</v>
      </c>
      <c r="D584" s="54" t="s">
        <v>26</v>
      </c>
      <c r="E584" s="52" t="s">
        <v>2337</v>
      </c>
      <c r="F584" s="53">
        <f t="shared" si="30"/>
        <v>1</v>
      </c>
      <c r="G584" s="54" t="s">
        <v>2338</v>
      </c>
      <c r="H584" s="54"/>
      <c r="I584" s="56"/>
      <c r="J584" s="55" t="s">
        <v>2339</v>
      </c>
    </row>
    <row r="585">
      <c r="A585" s="50"/>
      <c r="B585" s="50" t="s">
        <v>2162</v>
      </c>
      <c r="C585" s="54" t="s">
        <v>2340</v>
      </c>
      <c r="D585" s="54" t="s">
        <v>26</v>
      </c>
      <c r="E585" s="52" t="s">
        <v>2341</v>
      </c>
      <c r="F585" s="53">
        <f t="shared" si="30"/>
        <v>1</v>
      </c>
      <c r="G585" s="54" t="s">
        <v>2342</v>
      </c>
      <c r="H585" s="54"/>
      <c r="I585" s="56"/>
      <c r="J585" s="55" t="s">
        <v>2343</v>
      </c>
    </row>
    <row r="586">
      <c r="A586" s="50"/>
      <c r="B586" s="50" t="s">
        <v>2162</v>
      </c>
      <c r="C586" s="54" t="s">
        <v>2344</v>
      </c>
      <c r="D586" s="54" t="s">
        <v>2189</v>
      </c>
      <c r="E586" s="55" t="s">
        <v>2345</v>
      </c>
      <c r="F586" s="53">
        <f t="shared" si="30"/>
        <v>2</v>
      </c>
      <c r="G586" s="54" t="s">
        <v>2346</v>
      </c>
      <c r="H586" s="54"/>
      <c r="I586" s="55" t="s">
        <v>2347</v>
      </c>
      <c r="J586" s="55" t="s">
        <v>2348</v>
      </c>
    </row>
    <row r="587">
      <c r="A587" s="50"/>
      <c r="B587" s="50" t="s">
        <v>2162</v>
      </c>
      <c r="C587" s="54" t="s">
        <v>2349</v>
      </c>
      <c r="D587" s="54" t="s">
        <v>2195</v>
      </c>
      <c r="E587" s="55" t="s">
        <v>2350</v>
      </c>
      <c r="F587" s="53">
        <f t="shared" si="30"/>
        <v>2</v>
      </c>
      <c r="G587" s="54" t="s">
        <v>2351</v>
      </c>
      <c r="H587" s="54"/>
      <c r="I587" s="55" t="s">
        <v>2352</v>
      </c>
      <c r="J587" s="55" t="s">
        <v>2353</v>
      </c>
    </row>
    <row r="588">
      <c r="A588" s="50"/>
      <c r="B588" s="50" t="s">
        <v>2162</v>
      </c>
      <c r="C588" s="54" t="s">
        <v>2354</v>
      </c>
      <c r="D588" s="54" t="s">
        <v>2201</v>
      </c>
      <c r="E588" s="55" t="s">
        <v>2355</v>
      </c>
      <c r="F588" s="53">
        <f t="shared" si="30"/>
        <v>2</v>
      </c>
      <c r="G588" s="54" t="s">
        <v>2356</v>
      </c>
      <c r="H588" s="54"/>
      <c r="I588" s="55" t="s">
        <v>2357</v>
      </c>
      <c r="J588" s="55" t="s">
        <v>2358</v>
      </c>
    </row>
    <row r="589">
      <c r="A589" s="50"/>
      <c r="B589" s="50" t="s">
        <v>2162</v>
      </c>
      <c r="C589" s="54" t="s">
        <v>2359</v>
      </c>
      <c r="D589" s="54" t="s">
        <v>16</v>
      </c>
      <c r="E589" s="55" t="s">
        <v>2360</v>
      </c>
      <c r="F589" s="53">
        <f t="shared" si="30"/>
        <v>2</v>
      </c>
      <c r="G589" s="54" t="s">
        <v>2361</v>
      </c>
      <c r="H589" s="54"/>
      <c r="I589" s="55" t="s">
        <v>2362</v>
      </c>
      <c r="J589" s="55" t="s">
        <v>2363</v>
      </c>
    </row>
    <row r="590">
      <c r="A590" s="50"/>
      <c r="B590" s="50" t="s">
        <v>2162</v>
      </c>
      <c r="C590" s="54" t="s">
        <v>2364</v>
      </c>
      <c r="D590" s="54" t="s">
        <v>26</v>
      </c>
      <c r="E590" s="52" t="s">
        <v>2365</v>
      </c>
      <c r="F590" s="53">
        <f t="shared" si="30"/>
        <v>2</v>
      </c>
      <c r="G590" s="54" t="s">
        <v>2366</v>
      </c>
      <c r="H590" s="54"/>
      <c r="I590" s="55" t="s">
        <v>2367</v>
      </c>
      <c r="J590" s="55" t="s">
        <v>2368</v>
      </c>
    </row>
    <row r="591">
      <c r="A591" s="50"/>
      <c r="B591" s="50" t="s">
        <v>2162</v>
      </c>
      <c r="C591" s="54" t="s">
        <v>2369</v>
      </c>
      <c r="D591" s="54" t="s">
        <v>145</v>
      </c>
      <c r="E591" s="52" t="s">
        <v>2370</v>
      </c>
      <c r="F591" s="53">
        <f t="shared" si="30"/>
        <v>2</v>
      </c>
      <c r="G591" s="54" t="s">
        <v>2371</v>
      </c>
      <c r="H591" s="54"/>
      <c r="I591" s="55" t="s">
        <v>2372</v>
      </c>
      <c r="J591" s="55" t="s">
        <v>2373</v>
      </c>
    </row>
    <row r="592">
      <c r="A592" s="50"/>
      <c r="B592" s="50" t="s">
        <v>2162</v>
      </c>
      <c r="C592" s="54" t="s">
        <v>2374</v>
      </c>
      <c r="D592" s="54" t="s">
        <v>2189</v>
      </c>
      <c r="E592" s="55" t="s">
        <v>2375</v>
      </c>
      <c r="F592" s="53">
        <f t="shared" si="30"/>
        <v>2</v>
      </c>
      <c r="G592" s="54" t="s">
        <v>2376</v>
      </c>
      <c r="H592" s="54"/>
      <c r="I592" s="55" t="s">
        <v>2377</v>
      </c>
      <c r="J592" s="55" t="s">
        <v>2378</v>
      </c>
    </row>
    <row r="593">
      <c r="A593" s="50"/>
      <c r="B593" s="50" t="s">
        <v>2162</v>
      </c>
      <c r="C593" s="54" t="s">
        <v>2379</v>
      </c>
      <c r="D593" s="54" t="s">
        <v>2195</v>
      </c>
      <c r="E593" s="55" t="s">
        <v>2380</v>
      </c>
      <c r="F593" s="53">
        <f t="shared" si="30"/>
        <v>2</v>
      </c>
      <c r="G593" s="54" t="s">
        <v>2381</v>
      </c>
      <c r="H593" s="54"/>
      <c r="I593" s="55" t="s">
        <v>2382</v>
      </c>
      <c r="J593" s="55" t="s">
        <v>2383</v>
      </c>
    </row>
    <row r="594">
      <c r="A594" s="50"/>
      <c r="B594" s="50" t="s">
        <v>2162</v>
      </c>
      <c r="C594" s="54" t="s">
        <v>2384</v>
      </c>
      <c r="D594" s="54" t="s">
        <v>2201</v>
      </c>
      <c r="E594" s="55" t="s">
        <v>2385</v>
      </c>
      <c r="F594" s="53">
        <f t="shared" si="30"/>
        <v>2</v>
      </c>
      <c r="G594" s="54" t="s">
        <v>2386</v>
      </c>
      <c r="H594" s="54"/>
      <c r="I594" s="55" t="s">
        <v>2387</v>
      </c>
      <c r="J594" s="55" t="s">
        <v>2388</v>
      </c>
    </row>
    <row r="595">
      <c r="A595" s="50"/>
      <c r="B595" s="50" t="s">
        <v>2162</v>
      </c>
      <c r="C595" s="54" t="s">
        <v>2389</v>
      </c>
      <c r="D595" s="54" t="s">
        <v>16</v>
      </c>
      <c r="E595" s="55" t="s">
        <v>2390</v>
      </c>
      <c r="F595" s="53">
        <f t="shared" si="30"/>
        <v>2</v>
      </c>
      <c r="G595" s="54" t="s">
        <v>2391</v>
      </c>
      <c r="H595" s="54"/>
      <c r="I595" s="55" t="s">
        <v>2392</v>
      </c>
      <c r="J595" s="55" t="s">
        <v>2393</v>
      </c>
    </row>
    <row r="596">
      <c r="A596" s="50"/>
      <c r="B596" s="50" t="s">
        <v>2162</v>
      </c>
      <c r="C596" s="54" t="s">
        <v>2394</v>
      </c>
      <c r="D596" s="54" t="s">
        <v>16</v>
      </c>
      <c r="E596" s="55" t="s">
        <v>2395</v>
      </c>
      <c r="F596" s="53">
        <f t="shared" si="30"/>
        <v>2</v>
      </c>
      <c r="G596" s="54" t="s">
        <v>2396</v>
      </c>
      <c r="H596" s="54"/>
      <c r="I596" s="55" t="s">
        <v>2397</v>
      </c>
      <c r="J596" s="55" t="s">
        <v>2398</v>
      </c>
    </row>
    <row r="597">
      <c r="A597" s="50"/>
      <c r="B597" s="50" t="s">
        <v>2162</v>
      </c>
      <c r="C597" s="54" t="s">
        <v>2399</v>
      </c>
      <c r="D597" s="54" t="s">
        <v>26</v>
      </c>
      <c r="E597" s="55" t="s">
        <v>2400</v>
      </c>
      <c r="F597" s="53">
        <f t="shared" si="30"/>
        <v>2</v>
      </c>
      <c r="G597" s="54" t="s">
        <v>2401</v>
      </c>
      <c r="H597" s="54"/>
      <c r="I597" s="55" t="s">
        <v>2402</v>
      </c>
      <c r="J597" s="55" t="s">
        <v>2403</v>
      </c>
    </row>
    <row r="598">
      <c r="A598" s="50"/>
      <c r="B598" s="50" t="s">
        <v>2162</v>
      </c>
      <c r="C598" s="54" t="s">
        <v>2404</v>
      </c>
      <c r="D598" s="54" t="s">
        <v>145</v>
      </c>
      <c r="E598" s="55" t="s">
        <v>2405</v>
      </c>
      <c r="F598" s="53">
        <f t="shared" si="30"/>
        <v>2</v>
      </c>
      <c r="G598" s="54" t="s">
        <v>2406</v>
      </c>
      <c r="H598" s="54"/>
      <c r="I598" s="55" t="s">
        <v>2407</v>
      </c>
      <c r="J598" s="55" t="s">
        <v>2408</v>
      </c>
    </row>
    <row r="599">
      <c r="A599" s="50"/>
      <c r="B599" s="50" t="s">
        <v>2162</v>
      </c>
      <c r="C599" s="54" t="s">
        <v>2409</v>
      </c>
      <c r="D599" s="54" t="s">
        <v>26</v>
      </c>
      <c r="E599" s="55" t="s">
        <v>2410</v>
      </c>
      <c r="F599" s="53">
        <f t="shared" si="30"/>
        <v>2</v>
      </c>
      <c r="G599" s="54" t="s">
        <v>2411</v>
      </c>
      <c r="H599" s="54"/>
      <c r="I599" s="55" t="s">
        <v>2412</v>
      </c>
      <c r="J599" s="55" t="s">
        <v>2413</v>
      </c>
    </row>
    <row r="600">
      <c r="A600" s="50"/>
      <c r="B600" s="50" t="s">
        <v>2162</v>
      </c>
      <c r="C600" s="54" t="s">
        <v>2414</v>
      </c>
      <c r="D600" s="54" t="s">
        <v>145</v>
      </c>
      <c r="E600" s="55" t="s">
        <v>2415</v>
      </c>
      <c r="F600" s="53">
        <f t="shared" si="30"/>
        <v>2</v>
      </c>
      <c r="G600" s="54" t="s">
        <v>2416</v>
      </c>
      <c r="H600" s="54"/>
      <c r="I600" s="55" t="s">
        <v>2417</v>
      </c>
      <c r="J600" s="55" t="s">
        <v>2418</v>
      </c>
    </row>
    <row r="601">
      <c r="A601" s="50"/>
      <c r="B601" s="50" t="s">
        <v>2162</v>
      </c>
      <c r="C601" s="54" t="s">
        <v>2419</v>
      </c>
      <c r="D601" s="54" t="s">
        <v>2189</v>
      </c>
      <c r="E601" s="55" t="s">
        <v>2420</v>
      </c>
      <c r="F601" s="53">
        <f t="shared" si="30"/>
        <v>2</v>
      </c>
      <c r="G601" s="54" t="s">
        <v>2421</v>
      </c>
      <c r="H601" s="54"/>
      <c r="I601" s="55" t="s">
        <v>2422</v>
      </c>
      <c r="J601" s="55" t="s">
        <v>2423</v>
      </c>
    </row>
    <row r="602">
      <c r="A602" s="50"/>
      <c r="B602" s="50" t="s">
        <v>2162</v>
      </c>
      <c r="C602" s="54" t="s">
        <v>2424</v>
      </c>
      <c r="D602" s="54" t="s">
        <v>2195</v>
      </c>
      <c r="E602" s="55" t="s">
        <v>2425</v>
      </c>
      <c r="F602" s="53">
        <f t="shared" si="30"/>
        <v>2</v>
      </c>
      <c r="G602" s="54" t="s">
        <v>2426</v>
      </c>
      <c r="H602" s="54"/>
      <c r="I602" s="55" t="s">
        <v>2427</v>
      </c>
      <c r="J602" s="55" t="s">
        <v>2428</v>
      </c>
    </row>
    <row r="603">
      <c r="A603" s="50"/>
      <c r="B603" s="50" t="s">
        <v>2162</v>
      </c>
      <c r="C603" s="54" t="s">
        <v>2429</v>
      </c>
      <c r="D603" s="54" t="s">
        <v>2201</v>
      </c>
      <c r="E603" s="55" t="s">
        <v>2430</v>
      </c>
      <c r="F603" s="53">
        <f t="shared" si="30"/>
        <v>2</v>
      </c>
      <c r="G603" s="54" t="s">
        <v>2431</v>
      </c>
      <c r="H603" s="54"/>
      <c r="I603" s="55" t="s">
        <v>2432</v>
      </c>
      <c r="J603" s="55" t="s">
        <v>2433</v>
      </c>
    </row>
    <row r="604">
      <c r="A604" s="50"/>
      <c r="B604" s="50" t="s">
        <v>2162</v>
      </c>
      <c r="C604" s="54" t="s">
        <v>2434</v>
      </c>
      <c r="D604" s="54" t="s">
        <v>16</v>
      </c>
      <c r="E604" s="55" t="s">
        <v>2435</v>
      </c>
      <c r="F604" s="53">
        <f t="shared" si="30"/>
        <v>2</v>
      </c>
      <c r="G604" s="54" t="s">
        <v>2436</v>
      </c>
      <c r="H604" s="54"/>
      <c r="I604" s="55" t="s">
        <v>2437</v>
      </c>
      <c r="J604" s="55" t="s">
        <v>2438</v>
      </c>
    </row>
    <row r="605">
      <c r="A605" s="33"/>
      <c r="B605" s="33"/>
      <c r="C605" s="12"/>
      <c r="D605" s="12"/>
      <c r="E605" s="71"/>
      <c r="F605" s="14"/>
      <c r="G605" s="12"/>
      <c r="H605" s="12"/>
      <c r="I605" s="72"/>
      <c r="J605" s="35"/>
    </row>
    <row r="606">
      <c r="A606" s="50" t="s">
        <v>1241</v>
      </c>
      <c r="B606" s="50" t="s">
        <v>2439</v>
      </c>
      <c r="C606" s="54" t="s">
        <v>2440</v>
      </c>
      <c r="D606" s="54" t="s">
        <v>31</v>
      </c>
      <c r="E606" s="66" t="s">
        <v>2441</v>
      </c>
      <c r="F606" s="53">
        <f t="shared" ref="F606:F614" si="31">counta(I606:J606)</f>
        <v>2</v>
      </c>
      <c r="G606" s="54" t="s">
        <v>2442</v>
      </c>
      <c r="H606" s="54"/>
      <c r="I606" s="73" t="s">
        <v>2443</v>
      </c>
      <c r="J606" s="74" t="s">
        <v>2444</v>
      </c>
    </row>
    <row r="607">
      <c r="A607" s="50"/>
      <c r="B607" s="50" t="s">
        <v>2439</v>
      </c>
      <c r="C607" s="54" t="s">
        <v>2445</v>
      </c>
      <c r="D607" s="54" t="s">
        <v>26</v>
      </c>
      <c r="E607" s="55" t="s">
        <v>2446</v>
      </c>
      <c r="F607" s="53">
        <f t="shared" si="31"/>
        <v>2</v>
      </c>
      <c r="G607" s="54" t="s">
        <v>2447</v>
      </c>
      <c r="H607" s="54"/>
      <c r="I607" s="73" t="s">
        <v>2448</v>
      </c>
      <c r="J607" s="74" t="s">
        <v>2449</v>
      </c>
    </row>
    <row r="608">
      <c r="A608" s="50"/>
      <c r="B608" s="50" t="s">
        <v>2439</v>
      </c>
      <c r="C608" s="54" t="s">
        <v>2450</v>
      </c>
      <c r="D608" s="54" t="s">
        <v>2450</v>
      </c>
      <c r="E608" s="55" t="s">
        <v>2451</v>
      </c>
      <c r="F608" s="53">
        <f t="shared" si="31"/>
        <v>2</v>
      </c>
      <c r="G608" s="54" t="s">
        <v>2452</v>
      </c>
      <c r="H608" s="54"/>
      <c r="I608" s="73" t="s">
        <v>2453</v>
      </c>
      <c r="J608" s="74" t="s">
        <v>2454</v>
      </c>
    </row>
    <row r="609">
      <c r="A609" s="50"/>
      <c r="B609" s="50" t="s">
        <v>2439</v>
      </c>
      <c r="C609" s="54" t="s">
        <v>2455</v>
      </c>
      <c r="D609" s="54" t="s">
        <v>40</v>
      </c>
      <c r="E609" s="55" t="s">
        <v>2456</v>
      </c>
      <c r="F609" s="53">
        <f t="shared" si="31"/>
        <v>1</v>
      </c>
      <c r="G609" s="54" t="s">
        <v>2457</v>
      </c>
      <c r="H609" s="54"/>
      <c r="I609" s="56"/>
      <c r="J609" s="55" t="s">
        <v>2458</v>
      </c>
    </row>
    <row r="610">
      <c r="A610" s="50"/>
      <c r="B610" s="50" t="s">
        <v>2439</v>
      </c>
      <c r="C610" s="54" t="s">
        <v>2459</v>
      </c>
      <c r="D610" s="54" t="s">
        <v>40</v>
      </c>
      <c r="E610" s="55" t="s">
        <v>2460</v>
      </c>
      <c r="F610" s="53">
        <f t="shared" si="31"/>
        <v>1</v>
      </c>
      <c r="G610" s="54" t="s">
        <v>2461</v>
      </c>
      <c r="H610" s="54"/>
      <c r="I610" s="56"/>
      <c r="J610" s="55" t="s">
        <v>2462</v>
      </c>
    </row>
    <row r="611">
      <c r="A611" s="50"/>
      <c r="B611" s="50" t="s">
        <v>2439</v>
      </c>
      <c r="C611" s="54" t="s">
        <v>2463</v>
      </c>
      <c r="D611" s="54" t="s">
        <v>16</v>
      </c>
      <c r="E611" s="55" t="s">
        <v>2464</v>
      </c>
      <c r="F611" s="53">
        <f t="shared" si="31"/>
        <v>2</v>
      </c>
      <c r="G611" s="54" t="s">
        <v>2465</v>
      </c>
      <c r="H611" s="54"/>
      <c r="I611" s="75" t="s">
        <v>2466</v>
      </c>
      <c r="J611" s="74" t="s">
        <v>2467</v>
      </c>
    </row>
    <row r="612">
      <c r="A612" s="50"/>
      <c r="B612" s="50" t="s">
        <v>2439</v>
      </c>
      <c r="C612" s="54" t="s">
        <v>2468</v>
      </c>
      <c r="D612" s="54" t="s">
        <v>2468</v>
      </c>
      <c r="E612" s="55" t="s">
        <v>2469</v>
      </c>
      <c r="F612" s="53">
        <f t="shared" si="31"/>
        <v>2</v>
      </c>
      <c r="G612" s="54" t="s">
        <v>2470</v>
      </c>
      <c r="H612" s="54"/>
      <c r="I612" s="55" t="s">
        <v>2471</v>
      </c>
      <c r="J612" s="55" t="s">
        <v>2472</v>
      </c>
    </row>
    <row r="613">
      <c r="A613" s="50"/>
      <c r="B613" s="50" t="s">
        <v>2439</v>
      </c>
      <c r="C613" s="54" t="s">
        <v>2473</v>
      </c>
      <c r="D613" s="54" t="s">
        <v>16</v>
      </c>
      <c r="E613" s="55" t="s">
        <v>2474</v>
      </c>
      <c r="F613" s="53">
        <f t="shared" si="31"/>
        <v>2</v>
      </c>
      <c r="G613" s="54" t="s">
        <v>2475</v>
      </c>
      <c r="H613" s="54"/>
      <c r="I613" s="55" t="s">
        <v>2476</v>
      </c>
      <c r="J613" s="55" t="s">
        <v>2477</v>
      </c>
    </row>
    <row r="614">
      <c r="A614" s="50"/>
      <c r="B614" s="50" t="s">
        <v>2439</v>
      </c>
      <c r="C614" s="54" t="s">
        <v>2478</v>
      </c>
      <c r="D614" s="54" t="s">
        <v>16</v>
      </c>
      <c r="E614" s="55" t="s">
        <v>2479</v>
      </c>
      <c r="F614" s="53">
        <f t="shared" si="31"/>
        <v>2</v>
      </c>
      <c r="G614" s="54" t="s">
        <v>2480</v>
      </c>
      <c r="H614" s="54"/>
      <c r="I614" s="73" t="s">
        <v>2481</v>
      </c>
      <c r="J614" s="74" t="s">
        <v>2482</v>
      </c>
    </row>
    <row r="615">
      <c r="A615" s="33"/>
      <c r="B615" s="33"/>
      <c r="C615" s="12"/>
      <c r="D615" s="12"/>
      <c r="E615" s="15"/>
      <c r="F615" s="14"/>
      <c r="G615" s="12" t="s">
        <v>851</v>
      </c>
      <c r="H615" s="12"/>
      <c r="I615" s="40"/>
      <c r="J615" s="15"/>
    </row>
    <row r="616">
      <c r="A616" s="50" t="s">
        <v>1241</v>
      </c>
      <c r="B616" s="50" t="s">
        <v>2483</v>
      </c>
      <c r="C616" s="54" t="s">
        <v>2484</v>
      </c>
      <c r="D616" s="54" t="s">
        <v>31</v>
      </c>
      <c r="E616" s="55" t="s">
        <v>2485</v>
      </c>
      <c r="F616" s="53">
        <f t="shared" ref="F616:F624" si="32">counta(I616:J616)</f>
        <v>1</v>
      </c>
      <c r="G616" s="54" t="s">
        <v>2486</v>
      </c>
      <c r="H616" s="54"/>
      <c r="I616" s="56"/>
      <c r="J616" s="55" t="s">
        <v>2487</v>
      </c>
    </row>
    <row r="617">
      <c r="A617" s="50"/>
      <c r="B617" s="50" t="s">
        <v>2483</v>
      </c>
      <c r="C617" s="76" t="s">
        <v>2488</v>
      </c>
      <c r="D617" s="54" t="s">
        <v>40</v>
      </c>
      <c r="E617" s="55" t="s">
        <v>2489</v>
      </c>
      <c r="F617" s="53">
        <f t="shared" si="32"/>
        <v>1</v>
      </c>
      <c r="G617" s="54" t="s">
        <v>2488</v>
      </c>
      <c r="H617" s="76"/>
      <c r="I617" s="57"/>
      <c r="J617" s="55" t="s">
        <v>2490</v>
      </c>
    </row>
    <row r="618">
      <c r="A618" s="50"/>
      <c r="B618" s="50" t="s">
        <v>2483</v>
      </c>
      <c r="C618" s="76" t="s">
        <v>2491</v>
      </c>
      <c r="D618" s="76" t="s">
        <v>2491</v>
      </c>
      <c r="E618" s="55" t="s">
        <v>2492</v>
      </c>
      <c r="F618" s="53">
        <f t="shared" si="32"/>
        <v>1</v>
      </c>
      <c r="G618" s="54" t="s">
        <v>2493</v>
      </c>
      <c r="H618" s="76"/>
      <c r="I618" s="56"/>
      <c r="J618" s="55" t="s">
        <v>2494</v>
      </c>
    </row>
    <row r="619">
      <c r="A619" s="50"/>
      <c r="B619" s="50" t="s">
        <v>2483</v>
      </c>
      <c r="C619" s="76" t="s">
        <v>2495</v>
      </c>
      <c r="D619" s="54" t="s">
        <v>16</v>
      </c>
      <c r="E619" s="55" t="s">
        <v>2496</v>
      </c>
      <c r="F619" s="53">
        <f t="shared" si="32"/>
        <v>1</v>
      </c>
      <c r="G619" s="54" t="s">
        <v>2497</v>
      </c>
      <c r="H619" s="76"/>
      <c r="I619" s="56"/>
      <c r="J619" s="55" t="s">
        <v>2498</v>
      </c>
    </row>
    <row r="620">
      <c r="A620" s="50"/>
      <c r="B620" s="50" t="s">
        <v>2483</v>
      </c>
      <c r="C620" s="54" t="s">
        <v>2499</v>
      </c>
      <c r="D620" s="54" t="s">
        <v>26</v>
      </c>
      <c r="E620" s="55" t="s">
        <v>2500</v>
      </c>
      <c r="F620" s="53">
        <f t="shared" si="32"/>
        <v>1</v>
      </c>
      <c r="G620" s="54" t="s">
        <v>2501</v>
      </c>
      <c r="H620" s="54"/>
      <c r="I620" s="56"/>
      <c r="J620" s="55" t="s">
        <v>2502</v>
      </c>
    </row>
    <row r="621">
      <c r="A621" s="50"/>
      <c r="B621" s="50" t="s">
        <v>2483</v>
      </c>
      <c r="C621" s="54" t="s">
        <v>2503</v>
      </c>
      <c r="D621" s="54" t="s">
        <v>145</v>
      </c>
      <c r="E621" s="55" t="s">
        <v>2504</v>
      </c>
      <c r="F621" s="53">
        <f t="shared" si="32"/>
        <v>1</v>
      </c>
      <c r="G621" s="54" t="s">
        <v>2505</v>
      </c>
      <c r="H621" s="54"/>
      <c r="I621" s="56"/>
      <c r="J621" s="55" t="s">
        <v>2506</v>
      </c>
    </row>
    <row r="622">
      <c r="A622" s="50"/>
      <c r="B622" s="50" t="s">
        <v>2483</v>
      </c>
      <c r="C622" s="54" t="s">
        <v>2507</v>
      </c>
      <c r="D622" s="54" t="s">
        <v>26</v>
      </c>
      <c r="E622" s="55" t="s">
        <v>2508</v>
      </c>
      <c r="F622" s="53">
        <f t="shared" si="32"/>
        <v>1</v>
      </c>
      <c r="G622" s="54" t="s">
        <v>2509</v>
      </c>
      <c r="H622" s="54"/>
      <c r="I622" s="56"/>
      <c r="J622" s="55" t="s">
        <v>2510</v>
      </c>
    </row>
    <row r="623">
      <c r="A623" s="50"/>
      <c r="B623" s="50" t="s">
        <v>2483</v>
      </c>
      <c r="C623" s="54" t="s">
        <v>2511</v>
      </c>
      <c r="D623" s="54" t="s">
        <v>145</v>
      </c>
      <c r="E623" s="55" t="s">
        <v>2512</v>
      </c>
      <c r="F623" s="53">
        <f t="shared" si="32"/>
        <v>1</v>
      </c>
      <c r="G623" s="54" t="s">
        <v>2513</v>
      </c>
      <c r="H623" s="54"/>
      <c r="I623" s="56"/>
      <c r="J623" s="55" t="s">
        <v>2514</v>
      </c>
    </row>
    <row r="624">
      <c r="A624" s="50"/>
      <c r="B624" s="50" t="s">
        <v>2483</v>
      </c>
      <c r="C624" s="54" t="s">
        <v>2515</v>
      </c>
      <c r="D624" s="54" t="s">
        <v>483</v>
      </c>
      <c r="E624" s="55" t="s">
        <v>2516</v>
      </c>
      <c r="F624" s="53">
        <f t="shared" si="32"/>
        <v>1</v>
      </c>
      <c r="G624" s="54" t="s">
        <v>2517</v>
      </c>
      <c r="H624" s="54"/>
      <c r="I624" s="56"/>
      <c r="J624" s="55" t="s">
        <v>2518</v>
      </c>
    </row>
    <row r="625">
      <c r="A625" s="33"/>
      <c r="B625" s="33"/>
      <c r="C625" s="12"/>
      <c r="D625" s="12"/>
      <c r="E625" s="13"/>
      <c r="F625" s="14"/>
      <c r="G625" s="12"/>
      <c r="H625" s="12"/>
      <c r="I625" s="15"/>
      <c r="J625" s="15"/>
    </row>
    <row r="626">
      <c r="A626" s="50" t="s">
        <v>1241</v>
      </c>
      <c r="B626" s="50" t="s">
        <v>2519</v>
      </c>
      <c r="C626" s="54" t="s">
        <v>2520</v>
      </c>
      <c r="D626" s="54" t="s">
        <v>26</v>
      </c>
      <c r="E626" s="52" t="s">
        <v>2521</v>
      </c>
      <c r="F626" s="53">
        <f t="shared" ref="F626:F637" si="33">counta(I626:J626)</f>
        <v>2</v>
      </c>
      <c r="G626" s="54" t="s">
        <v>2522</v>
      </c>
      <c r="H626" s="54"/>
      <c r="I626" s="55" t="s">
        <v>2523</v>
      </c>
      <c r="J626" s="55" t="s">
        <v>2524</v>
      </c>
    </row>
    <row r="627">
      <c r="A627" s="50"/>
      <c r="B627" s="50" t="s">
        <v>2519</v>
      </c>
      <c r="C627" s="54" t="s">
        <v>2525</v>
      </c>
      <c r="D627" s="54" t="s">
        <v>145</v>
      </c>
      <c r="E627" s="52" t="s">
        <v>2526</v>
      </c>
      <c r="F627" s="53">
        <f t="shared" si="33"/>
        <v>2</v>
      </c>
      <c r="G627" s="54" t="s">
        <v>2527</v>
      </c>
      <c r="H627" s="54"/>
      <c r="I627" s="55" t="s">
        <v>2528</v>
      </c>
      <c r="J627" s="55" t="s">
        <v>2529</v>
      </c>
    </row>
    <row r="628">
      <c r="A628" s="50"/>
      <c r="B628" s="50" t="s">
        <v>2519</v>
      </c>
      <c r="C628" s="54" t="s">
        <v>2530</v>
      </c>
      <c r="D628" s="54" t="s">
        <v>40</v>
      </c>
      <c r="E628" s="55" t="s">
        <v>2531</v>
      </c>
      <c r="F628" s="53">
        <f t="shared" si="33"/>
        <v>2</v>
      </c>
      <c r="G628" s="54" t="s">
        <v>2532</v>
      </c>
      <c r="H628" s="54" t="s">
        <v>2533</v>
      </c>
      <c r="I628" s="55" t="s">
        <v>2534</v>
      </c>
      <c r="J628" s="55" t="s">
        <v>2535</v>
      </c>
    </row>
    <row r="629">
      <c r="A629" s="50"/>
      <c r="B629" s="50" t="s">
        <v>2519</v>
      </c>
      <c r="C629" s="54" t="s">
        <v>2536</v>
      </c>
      <c r="D629" s="54" t="s">
        <v>40</v>
      </c>
      <c r="E629" s="55" t="s">
        <v>2537</v>
      </c>
      <c r="F629" s="53">
        <f t="shared" si="33"/>
        <v>1</v>
      </c>
      <c r="G629" s="54" t="s">
        <v>2538</v>
      </c>
      <c r="H629" s="54" t="s">
        <v>2539</v>
      </c>
      <c r="I629" s="55" t="s">
        <v>2540</v>
      </c>
      <c r="J629" s="77"/>
    </row>
    <row r="630">
      <c r="A630" s="50"/>
      <c r="B630" s="50" t="s">
        <v>2519</v>
      </c>
      <c r="C630" s="54" t="s">
        <v>2541</v>
      </c>
      <c r="D630" s="54" t="s">
        <v>40</v>
      </c>
      <c r="E630" s="55" t="s">
        <v>2542</v>
      </c>
      <c r="F630" s="53">
        <f t="shared" si="33"/>
        <v>1</v>
      </c>
      <c r="G630" s="54" t="s">
        <v>2543</v>
      </c>
      <c r="H630" s="54" t="s">
        <v>2544</v>
      </c>
      <c r="I630" s="55" t="s">
        <v>2545</v>
      </c>
      <c r="J630" s="77"/>
    </row>
    <row r="631">
      <c r="A631" s="50"/>
      <c r="B631" s="50" t="s">
        <v>2519</v>
      </c>
      <c r="C631" s="54" t="s">
        <v>2546</v>
      </c>
      <c r="D631" s="54" t="s">
        <v>40</v>
      </c>
      <c r="E631" s="55" t="s">
        <v>2547</v>
      </c>
      <c r="F631" s="53">
        <f t="shared" si="33"/>
        <v>1</v>
      </c>
      <c r="G631" s="54" t="s">
        <v>2548</v>
      </c>
      <c r="H631" s="54" t="s">
        <v>2549</v>
      </c>
      <c r="I631" s="55" t="s">
        <v>2550</v>
      </c>
      <c r="J631" s="77"/>
    </row>
    <row r="632">
      <c r="A632" s="50"/>
      <c r="B632" s="50" t="s">
        <v>2519</v>
      </c>
      <c r="C632" s="54" t="s">
        <v>2551</v>
      </c>
      <c r="D632" s="54" t="s">
        <v>40</v>
      </c>
      <c r="E632" s="55" t="s">
        <v>2552</v>
      </c>
      <c r="F632" s="53">
        <f t="shared" si="33"/>
        <v>1</v>
      </c>
      <c r="G632" s="54" t="s">
        <v>2553</v>
      </c>
      <c r="H632" s="54" t="s">
        <v>2554</v>
      </c>
      <c r="I632" s="55" t="s">
        <v>2555</v>
      </c>
      <c r="J632" s="77"/>
    </row>
    <row r="633">
      <c r="A633" s="50"/>
      <c r="B633" s="50" t="s">
        <v>2519</v>
      </c>
      <c r="C633" s="54" t="s">
        <v>2556</v>
      </c>
      <c r="D633" s="54" t="s">
        <v>40</v>
      </c>
      <c r="E633" s="55"/>
      <c r="F633" s="53">
        <f t="shared" si="33"/>
        <v>0</v>
      </c>
      <c r="G633" s="54" t="s">
        <v>2557</v>
      </c>
      <c r="H633" s="54" t="s">
        <v>2558</v>
      </c>
      <c r="I633" s="55"/>
      <c r="J633" s="77"/>
    </row>
    <row r="634">
      <c r="A634" s="50"/>
      <c r="B634" s="50" t="s">
        <v>2519</v>
      </c>
      <c r="C634" s="54" t="s">
        <v>2559</v>
      </c>
      <c r="D634" s="54" t="s">
        <v>40</v>
      </c>
      <c r="E634" s="55"/>
      <c r="F634" s="53">
        <f t="shared" si="33"/>
        <v>0</v>
      </c>
      <c r="G634" s="54" t="s">
        <v>2560</v>
      </c>
      <c r="H634" s="54" t="s">
        <v>2561</v>
      </c>
      <c r="I634" s="55"/>
      <c r="J634" s="77"/>
    </row>
    <row r="635">
      <c r="A635" s="55"/>
      <c r="B635" s="50" t="s">
        <v>2519</v>
      </c>
      <c r="C635" s="54" t="s">
        <v>2562</v>
      </c>
      <c r="D635" s="54" t="s">
        <v>40</v>
      </c>
      <c r="E635" s="57"/>
      <c r="F635" s="53">
        <f t="shared" si="33"/>
        <v>1</v>
      </c>
      <c r="G635" s="54" t="s">
        <v>2563</v>
      </c>
      <c r="H635" s="54" t="s">
        <v>2564</v>
      </c>
      <c r="I635" s="55" t="s">
        <v>2565</v>
      </c>
      <c r="J635" s="77"/>
    </row>
    <row r="636">
      <c r="A636" s="50"/>
      <c r="B636" s="50" t="s">
        <v>2519</v>
      </c>
      <c r="C636" s="54" t="s">
        <v>2566</v>
      </c>
      <c r="D636" s="54" t="s">
        <v>40</v>
      </c>
      <c r="E636" s="55" t="s">
        <v>2567</v>
      </c>
      <c r="F636" s="53">
        <f t="shared" si="33"/>
        <v>1</v>
      </c>
      <c r="G636" s="54" t="s">
        <v>2568</v>
      </c>
      <c r="H636" s="54" t="s">
        <v>2569</v>
      </c>
      <c r="I636" s="55" t="s">
        <v>2570</v>
      </c>
      <c r="J636" s="77"/>
    </row>
    <row r="637">
      <c r="A637" s="50"/>
      <c r="B637" s="50" t="s">
        <v>2519</v>
      </c>
      <c r="C637" s="54" t="s">
        <v>2571</v>
      </c>
      <c r="D637" s="54" t="s">
        <v>16</v>
      </c>
      <c r="E637" s="55" t="s">
        <v>2572</v>
      </c>
      <c r="F637" s="53">
        <f t="shared" si="33"/>
        <v>2</v>
      </c>
      <c r="G637" s="54" t="s">
        <v>2573</v>
      </c>
      <c r="H637" s="54"/>
      <c r="I637" s="55" t="s">
        <v>2574</v>
      </c>
      <c r="J637" s="55" t="s">
        <v>2575</v>
      </c>
    </row>
    <row r="638">
      <c r="A638" s="33"/>
      <c r="B638" s="33"/>
      <c r="C638" s="12"/>
      <c r="D638" s="12"/>
      <c r="E638" s="15"/>
      <c r="F638" s="14"/>
      <c r="G638" s="12"/>
      <c r="H638" s="12"/>
      <c r="I638" s="15"/>
      <c r="J638" s="15"/>
    </row>
    <row r="639">
      <c r="A639" s="33"/>
      <c r="B639" s="33"/>
      <c r="C639" s="12"/>
      <c r="D639" s="39"/>
      <c r="E639" s="15"/>
      <c r="F639" s="14"/>
      <c r="G639" s="12"/>
      <c r="H639" s="12"/>
      <c r="I639" s="15"/>
      <c r="J639" s="15"/>
    </row>
    <row r="640">
      <c r="A640" s="78" t="s">
        <v>2576</v>
      </c>
      <c r="B640" s="78" t="s">
        <v>703</v>
      </c>
      <c r="C640" s="79" t="s">
        <v>2577</v>
      </c>
      <c r="D640" s="80" t="s">
        <v>31</v>
      </c>
      <c r="E640" s="81" t="s">
        <v>2578</v>
      </c>
      <c r="F640" s="82">
        <f t="shared" ref="F640:F646" si="34">counta(I640:J640)</f>
        <v>2</v>
      </c>
      <c r="G640" s="79" t="s">
        <v>2579</v>
      </c>
      <c r="H640" s="79"/>
      <c r="I640" s="81" t="s">
        <v>2580</v>
      </c>
      <c r="J640" s="81" t="s">
        <v>2581</v>
      </c>
      <c r="K640" s="83"/>
      <c r="L640" s="83"/>
    </row>
    <row r="641">
      <c r="A641" s="78"/>
      <c r="B641" s="78" t="s">
        <v>703</v>
      </c>
      <c r="C641" s="79" t="s">
        <v>2582</v>
      </c>
      <c r="D641" s="79" t="s">
        <v>26</v>
      </c>
      <c r="E641" s="84" t="s">
        <v>2583</v>
      </c>
      <c r="F641" s="82">
        <f t="shared" si="34"/>
        <v>2</v>
      </c>
      <c r="G641" s="79" t="s">
        <v>2584</v>
      </c>
      <c r="H641" s="79"/>
      <c r="I641" s="81" t="s">
        <v>2585</v>
      </c>
      <c r="J641" s="81" t="s">
        <v>2586</v>
      </c>
      <c r="K641" s="83"/>
      <c r="L641" s="83"/>
    </row>
    <row r="642">
      <c r="A642" s="78"/>
      <c r="B642" s="78" t="s">
        <v>703</v>
      </c>
      <c r="C642" s="79" t="s">
        <v>2587</v>
      </c>
      <c r="D642" s="79" t="s">
        <v>145</v>
      </c>
      <c r="E642" s="84" t="s">
        <v>2588</v>
      </c>
      <c r="F642" s="82">
        <f t="shared" si="34"/>
        <v>2</v>
      </c>
      <c r="G642" s="79" t="s">
        <v>2589</v>
      </c>
      <c r="H642" s="79"/>
      <c r="I642" s="81" t="s">
        <v>2590</v>
      </c>
      <c r="J642" s="81" t="s">
        <v>2591</v>
      </c>
      <c r="K642" s="83"/>
      <c r="L642" s="83"/>
    </row>
    <row r="643">
      <c r="A643" s="78"/>
      <c r="B643" s="78" t="s">
        <v>703</v>
      </c>
      <c r="C643" s="79" t="s">
        <v>2592</v>
      </c>
      <c r="D643" s="79" t="s">
        <v>483</v>
      </c>
      <c r="E643" s="81" t="s">
        <v>2593</v>
      </c>
      <c r="F643" s="82">
        <f t="shared" si="34"/>
        <v>2</v>
      </c>
      <c r="G643" s="79" t="s">
        <v>2594</v>
      </c>
      <c r="H643" s="79"/>
      <c r="I643" s="81" t="s">
        <v>2595</v>
      </c>
      <c r="J643" s="81" t="s">
        <v>2596</v>
      </c>
      <c r="K643" s="83"/>
      <c r="L643" s="83"/>
    </row>
    <row r="644">
      <c r="A644" s="78"/>
      <c r="B644" s="78" t="s">
        <v>703</v>
      </c>
      <c r="C644" s="79" t="s">
        <v>2597</v>
      </c>
      <c r="D644" s="79" t="s">
        <v>483</v>
      </c>
      <c r="E644" s="81" t="s">
        <v>2598</v>
      </c>
      <c r="F644" s="82">
        <f t="shared" si="34"/>
        <v>2</v>
      </c>
      <c r="G644" s="79" t="s">
        <v>2599</v>
      </c>
      <c r="H644" s="79"/>
      <c r="I644" s="81" t="s">
        <v>2600</v>
      </c>
      <c r="J644" s="81" t="s">
        <v>2601</v>
      </c>
      <c r="K644" s="83"/>
      <c r="L644" s="83"/>
    </row>
    <row r="645">
      <c r="A645" s="78"/>
      <c r="B645" s="78" t="s">
        <v>703</v>
      </c>
      <c r="C645" s="79" t="s">
        <v>2602</v>
      </c>
      <c r="D645" s="79" t="s">
        <v>40</v>
      </c>
      <c r="E645" s="84" t="s">
        <v>2603</v>
      </c>
      <c r="F645" s="82">
        <f t="shared" si="34"/>
        <v>1</v>
      </c>
      <c r="G645" s="79" t="s">
        <v>2604</v>
      </c>
      <c r="H645" s="79"/>
      <c r="I645" s="85"/>
      <c r="J645" s="81" t="s">
        <v>2605</v>
      </c>
      <c r="K645" s="83"/>
      <c r="L645" s="83"/>
    </row>
    <row r="646">
      <c r="A646" s="78"/>
      <c r="B646" s="78" t="s">
        <v>703</v>
      </c>
      <c r="C646" s="79" t="s">
        <v>2606</v>
      </c>
      <c r="D646" s="79" t="s">
        <v>40</v>
      </c>
      <c r="E646" s="84" t="s">
        <v>2607</v>
      </c>
      <c r="F646" s="82">
        <f t="shared" si="34"/>
        <v>1</v>
      </c>
      <c r="G646" s="79" t="s">
        <v>2608</v>
      </c>
      <c r="H646" s="79"/>
      <c r="I646" s="85"/>
      <c r="J646" s="81" t="s">
        <v>2609</v>
      </c>
      <c r="K646" s="83"/>
      <c r="L646" s="83"/>
    </row>
    <row r="647">
      <c r="A647" s="33"/>
      <c r="B647" s="33"/>
      <c r="C647" s="12"/>
      <c r="D647" s="12"/>
      <c r="E647" s="15"/>
      <c r="F647" s="14"/>
      <c r="G647" s="12"/>
      <c r="H647" s="12"/>
      <c r="I647" s="40"/>
      <c r="J647" s="15"/>
    </row>
    <row r="648">
      <c r="A648" s="78" t="s">
        <v>2576</v>
      </c>
      <c r="B648" s="78" t="s">
        <v>703</v>
      </c>
      <c r="C648" s="79" t="s">
        <v>2610</v>
      </c>
      <c r="D648" s="79" t="s">
        <v>40</v>
      </c>
      <c r="E648" s="81" t="s">
        <v>2611</v>
      </c>
      <c r="F648" s="82">
        <f t="shared" ref="F648:F654" si="35">counta(I648:J648)</f>
        <v>1</v>
      </c>
      <c r="G648" s="79" t="s">
        <v>2612</v>
      </c>
      <c r="H648" s="79"/>
      <c r="I648" s="85"/>
      <c r="J648" s="81" t="s">
        <v>2613</v>
      </c>
      <c r="K648" s="83"/>
      <c r="L648" s="83"/>
    </row>
    <row r="649">
      <c r="A649" s="78"/>
      <c r="B649" s="78" t="s">
        <v>703</v>
      </c>
      <c r="C649" s="79" t="s">
        <v>2614</v>
      </c>
      <c r="D649" s="79" t="s">
        <v>26</v>
      </c>
      <c r="E649" s="84" t="s">
        <v>2615</v>
      </c>
      <c r="F649" s="82">
        <f t="shared" si="35"/>
        <v>1</v>
      </c>
      <c r="G649" s="79" t="s">
        <v>2616</v>
      </c>
      <c r="H649" s="79"/>
      <c r="I649" s="85"/>
      <c r="J649" s="81" t="s">
        <v>2617</v>
      </c>
      <c r="K649" s="83"/>
      <c r="L649" s="83"/>
    </row>
    <row r="650">
      <c r="A650" s="78"/>
      <c r="B650" s="78" t="s">
        <v>703</v>
      </c>
      <c r="C650" s="79" t="s">
        <v>2618</v>
      </c>
      <c r="D650" s="79" t="s">
        <v>145</v>
      </c>
      <c r="E650" s="84" t="s">
        <v>2619</v>
      </c>
      <c r="F650" s="82">
        <f t="shared" si="35"/>
        <v>1</v>
      </c>
      <c r="G650" s="79" t="s">
        <v>2620</v>
      </c>
      <c r="H650" s="79"/>
      <c r="I650" s="85"/>
      <c r="J650" s="81" t="s">
        <v>2621</v>
      </c>
      <c r="K650" s="83"/>
      <c r="L650" s="83"/>
    </row>
    <row r="651">
      <c r="A651" s="78"/>
      <c r="B651" s="78" t="s">
        <v>703</v>
      </c>
      <c r="C651" s="79" t="s">
        <v>2622</v>
      </c>
      <c r="D651" s="79" t="s">
        <v>483</v>
      </c>
      <c r="E651" s="81" t="s">
        <v>2623</v>
      </c>
      <c r="F651" s="82">
        <f t="shared" si="35"/>
        <v>1</v>
      </c>
      <c r="G651" s="79" t="s">
        <v>2624</v>
      </c>
      <c r="H651" s="79"/>
      <c r="I651" s="85"/>
      <c r="J651" s="81" t="s">
        <v>2625</v>
      </c>
      <c r="K651" s="83"/>
      <c r="L651" s="83"/>
    </row>
    <row r="652">
      <c r="A652" s="78"/>
      <c r="B652" s="78" t="s">
        <v>703</v>
      </c>
      <c r="C652" s="79" t="s">
        <v>2626</v>
      </c>
      <c r="D652" s="79" t="s">
        <v>16</v>
      </c>
      <c r="E652" s="81" t="s">
        <v>2627</v>
      </c>
      <c r="F652" s="82">
        <f t="shared" si="35"/>
        <v>1</v>
      </c>
      <c r="G652" s="79" t="s">
        <v>2628</v>
      </c>
      <c r="H652" s="79"/>
      <c r="I652" s="85"/>
      <c r="J652" s="81" t="s">
        <v>2629</v>
      </c>
      <c r="K652" s="83"/>
      <c r="L652" s="83"/>
    </row>
    <row r="653">
      <c r="A653" s="78"/>
      <c r="B653" s="78" t="s">
        <v>703</v>
      </c>
      <c r="C653" s="79" t="s">
        <v>2630</v>
      </c>
      <c r="D653" s="79" t="s">
        <v>2630</v>
      </c>
      <c r="E653" s="81" t="s">
        <v>2631</v>
      </c>
      <c r="F653" s="82">
        <f t="shared" si="35"/>
        <v>1</v>
      </c>
      <c r="G653" s="79" t="s">
        <v>2632</v>
      </c>
      <c r="H653" s="79"/>
      <c r="I653" s="85"/>
      <c r="J653" s="81" t="s">
        <v>2633</v>
      </c>
      <c r="K653" s="83"/>
      <c r="L653" s="83"/>
    </row>
    <row r="654">
      <c r="A654" s="78"/>
      <c r="B654" s="78" t="s">
        <v>703</v>
      </c>
      <c r="C654" s="79" t="s">
        <v>2634</v>
      </c>
      <c r="D654" s="79" t="s">
        <v>16</v>
      </c>
      <c r="E654" s="84" t="s">
        <v>2635</v>
      </c>
      <c r="F654" s="82">
        <f t="shared" si="35"/>
        <v>1</v>
      </c>
      <c r="G654" s="79" t="s">
        <v>2636</v>
      </c>
      <c r="H654" s="79"/>
      <c r="I654" s="85"/>
      <c r="J654" s="81" t="s">
        <v>2637</v>
      </c>
      <c r="K654" s="83"/>
      <c r="L654" s="83"/>
    </row>
    <row r="655">
      <c r="A655" s="33"/>
      <c r="B655" s="86"/>
      <c r="C655" s="12"/>
      <c r="D655" s="12"/>
      <c r="E655" s="15"/>
      <c r="F655" s="14"/>
      <c r="G655" s="12"/>
      <c r="H655" s="12"/>
      <c r="I655" s="15"/>
      <c r="J655" s="40"/>
    </row>
    <row r="656">
      <c r="A656" s="78" t="s">
        <v>2576</v>
      </c>
      <c r="B656" s="78" t="s">
        <v>1482</v>
      </c>
      <c r="C656" s="79" t="s">
        <v>2638</v>
      </c>
      <c r="D656" s="79" t="s">
        <v>483</v>
      </c>
      <c r="E656" s="81" t="s">
        <v>2639</v>
      </c>
      <c r="F656" s="82">
        <f t="shared" ref="F656:F661" si="36">counta(I656:J656)</f>
        <v>1</v>
      </c>
      <c r="G656" s="79" t="s">
        <v>2640</v>
      </c>
      <c r="H656" s="79"/>
      <c r="I656" s="83"/>
      <c r="J656" s="81" t="s">
        <v>2641</v>
      </c>
      <c r="K656" s="83"/>
      <c r="L656" s="83"/>
    </row>
    <row r="657">
      <c r="A657" s="78"/>
      <c r="B657" s="78" t="s">
        <v>1482</v>
      </c>
      <c r="C657" s="79" t="s">
        <v>2642</v>
      </c>
      <c r="D657" s="79" t="s">
        <v>26</v>
      </c>
      <c r="E657" s="81" t="s">
        <v>2643</v>
      </c>
      <c r="F657" s="82">
        <f t="shared" si="36"/>
        <v>1</v>
      </c>
      <c r="G657" s="79" t="s">
        <v>2644</v>
      </c>
      <c r="H657" s="79"/>
      <c r="I657" s="83"/>
      <c r="J657" s="81" t="s">
        <v>2645</v>
      </c>
      <c r="K657" s="83"/>
      <c r="L657" s="83"/>
    </row>
    <row r="658">
      <c r="A658" s="78"/>
      <c r="B658" s="78" t="s">
        <v>1482</v>
      </c>
      <c r="C658" s="79" t="s">
        <v>2646</v>
      </c>
      <c r="D658" s="79" t="s">
        <v>483</v>
      </c>
      <c r="E658" s="81" t="s">
        <v>2647</v>
      </c>
      <c r="F658" s="82">
        <f t="shared" si="36"/>
        <v>1</v>
      </c>
      <c r="G658" s="79" t="s">
        <v>2648</v>
      </c>
      <c r="H658" s="79"/>
      <c r="I658" s="83"/>
      <c r="J658" s="81" t="s">
        <v>2649</v>
      </c>
      <c r="K658" s="83"/>
      <c r="L658" s="83"/>
    </row>
    <row r="659">
      <c r="A659" s="78"/>
      <c r="B659" s="78" t="s">
        <v>1482</v>
      </c>
      <c r="C659" s="79" t="s">
        <v>2650</v>
      </c>
      <c r="D659" s="79" t="s">
        <v>26</v>
      </c>
      <c r="E659" s="81" t="s">
        <v>2651</v>
      </c>
      <c r="F659" s="82">
        <f t="shared" si="36"/>
        <v>1</v>
      </c>
      <c r="G659" s="79" t="s">
        <v>2652</v>
      </c>
      <c r="H659" s="79"/>
      <c r="I659" s="83"/>
      <c r="J659" s="81" t="s">
        <v>2653</v>
      </c>
      <c r="K659" s="83"/>
      <c r="L659" s="83"/>
    </row>
    <row r="660">
      <c r="A660" s="78"/>
      <c r="B660" s="78" t="s">
        <v>1482</v>
      </c>
      <c r="C660" s="79" t="s">
        <v>2654</v>
      </c>
      <c r="D660" s="79" t="s">
        <v>483</v>
      </c>
      <c r="E660" s="87" t="s">
        <v>2655</v>
      </c>
      <c r="F660" s="82">
        <f t="shared" si="36"/>
        <v>1</v>
      </c>
      <c r="G660" s="79" t="s">
        <v>2656</v>
      </c>
      <c r="H660" s="79"/>
      <c r="I660" s="81"/>
      <c r="J660" s="81" t="s">
        <v>2657</v>
      </c>
      <c r="K660" s="83"/>
      <c r="L660" s="83"/>
    </row>
    <row r="661">
      <c r="A661" s="78"/>
      <c r="B661" s="78" t="s">
        <v>1482</v>
      </c>
      <c r="C661" s="79" t="s">
        <v>2658</v>
      </c>
      <c r="D661" s="79" t="s">
        <v>26</v>
      </c>
      <c r="E661" s="87" t="s">
        <v>2659</v>
      </c>
      <c r="F661" s="82">
        <f t="shared" si="36"/>
        <v>1</v>
      </c>
      <c r="G661" s="79" t="s">
        <v>2660</v>
      </c>
      <c r="H661" s="79"/>
      <c r="I661" s="81"/>
      <c r="J661" s="81" t="s">
        <v>2661</v>
      </c>
      <c r="K661" s="83"/>
      <c r="L661" s="83"/>
    </row>
    <row r="662">
      <c r="A662" s="33"/>
      <c r="B662" s="33"/>
      <c r="C662" s="12"/>
      <c r="D662" s="12"/>
      <c r="E662" s="15"/>
      <c r="F662" s="14"/>
      <c r="G662" s="12" t="s">
        <v>851</v>
      </c>
      <c r="H662" s="12"/>
      <c r="I662" s="88"/>
      <c r="J662" s="88"/>
    </row>
    <row r="663">
      <c r="A663" s="78" t="s">
        <v>2576</v>
      </c>
      <c r="B663" s="78" t="s">
        <v>1040</v>
      </c>
      <c r="C663" s="79" t="s">
        <v>2662</v>
      </c>
      <c r="D663" s="79" t="s">
        <v>40</v>
      </c>
      <c r="E663" s="81" t="s">
        <v>1042</v>
      </c>
      <c r="F663" s="82">
        <f t="shared" ref="F663:F698" si="37">counta(I663:J663)</f>
        <v>0</v>
      </c>
      <c r="G663" s="79" t="s">
        <v>2663</v>
      </c>
      <c r="H663" s="79" t="s">
        <v>2664</v>
      </c>
      <c r="I663" s="81"/>
      <c r="J663" s="81"/>
      <c r="K663" s="83"/>
      <c r="L663" s="83"/>
    </row>
    <row r="664">
      <c r="A664" s="78"/>
      <c r="B664" s="78" t="s">
        <v>1040</v>
      </c>
      <c r="C664" s="79" t="s">
        <v>2665</v>
      </c>
      <c r="D664" s="79" t="s">
        <v>26</v>
      </c>
      <c r="E664" s="81" t="s">
        <v>1045</v>
      </c>
      <c r="F664" s="82">
        <f t="shared" si="37"/>
        <v>0</v>
      </c>
      <c r="G664" s="79" t="s">
        <v>2666</v>
      </c>
      <c r="H664" s="79"/>
      <c r="I664" s="81"/>
      <c r="J664" s="81"/>
      <c r="K664" s="83"/>
      <c r="L664" s="83"/>
    </row>
    <row r="665">
      <c r="A665" s="78"/>
      <c r="B665" s="78" t="s">
        <v>1040</v>
      </c>
      <c r="C665" s="79" t="s">
        <v>2667</v>
      </c>
      <c r="D665" s="79" t="s">
        <v>145</v>
      </c>
      <c r="E665" s="81" t="s">
        <v>1048</v>
      </c>
      <c r="F665" s="82">
        <f t="shared" si="37"/>
        <v>0</v>
      </c>
      <c r="G665" s="79" t="s">
        <v>2668</v>
      </c>
      <c r="H665" s="79"/>
      <c r="I665" s="81"/>
      <c r="J665" s="81"/>
      <c r="K665" s="83"/>
      <c r="L665" s="83"/>
    </row>
    <row r="666">
      <c r="A666" s="78"/>
      <c r="B666" s="78" t="s">
        <v>1040</v>
      </c>
      <c r="C666" s="79" t="s">
        <v>2669</v>
      </c>
      <c r="D666" s="79" t="s">
        <v>1051</v>
      </c>
      <c r="E666" s="81" t="s">
        <v>1052</v>
      </c>
      <c r="F666" s="82">
        <f t="shared" si="37"/>
        <v>0</v>
      </c>
      <c r="G666" s="79" t="s">
        <v>2670</v>
      </c>
      <c r="H666" s="79"/>
      <c r="I666" s="81"/>
      <c r="J666" s="81"/>
      <c r="K666" s="83"/>
      <c r="L666" s="83"/>
    </row>
    <row r="667">
      <c r="A667" s="78"/>
      <c r="B667" s="78" t="s">
        <v>1040</v>
      </c>
      <c r="C667" s="79" t="s">
        <v>2671</v>
      </c>
      <c r="D667" s="79" t="s">
        <v>1051</v>
      </c>
      <c r="E667" s="81" t="s">
        <v>1055</v>
      </c>
      <c r="F667" s="82">
        <f t="shared" si="37"/>
        <v>0</v>
      </c>
      <c r="G667" s="79" t="s">
        <v>2672</v>
      </c>
      <c r="H667" s="79"/>
      <c r="I667" s="81"/>
      <c r="J667" s="81"/>
      <c r="K667" s="83"/>
      <c r="L667" s="83"/>
    </row>
    <row r="668">
      <c r="A668" s="78"/>
      <c r="B668" s="78" t="s">
        <v>1040</v>
      </c>
      <c r="C668" s="79" t="s">
        <v>2673</v>
      </c>
      <c r="D668" s="79" t="s">
        <v>1051</v>
      </c>
      <c r="E668" s="81" t="s">
        <v>1058</v>
      </c>
      <c r="F668" s="82">
        <f t="shared" si="37"/>
        <v>0</v>
      </c>
      <c r="G668" s="79" t="s">
        <v>2674</v>
      </c>
      <c r="H668" s="79"/>
      <c r="I668" s="81"/>
      <c r="J668" s="81"/>
      <c r="K668" s="83"/>
      <c r="L668" s="83"/>
    </row>
    <row r="669">
      <c r="A669" s="78"/>
      <c r="B669" s="78" t="s">
        <v>1040</v>
      </c>
      <c r="C669" s="79" t="s">
        <v>2675</v>
      </c>
      <c r="D669" s="79" t="s">
        <v>1051</v>
      </c>
      <c r="E669" s="81" t="s">
        <v>1061</v>
      </c>
      <c r="F669" s="82">
        <f t="shared" si="37"/>
        <v>0</v>
      </c>
      <c r="G669" s="79" t="s">
        <v>2676</v>
      </c>
      <c r="H669" s="79"/>
      <c r="I669" s="81"/>
      <c r="J669" s="81"/>
      <c r="K669" s="83"/>
      <c r="L669" s="83"/>
    </row>
    <row r="670">
      <c r="A670" s="78"/>
      <c r="B670" s="78" t="s">
        <v>1040</v>
      </c>
      <c r="C670" s="79" t="s">
        <v>2677</v>
      </c>
      <c r="D670" s="79" t="s">
        <v>1051</v>
      </c>
      <c r="E670" s="81" t="s">
        <v>1064</v>
      </c>
      <c r="F670" s="82">
        <f t="shared" si="37"/>
        <v>0</v>
      </c>
      <c r="G670" s="79" t="s">
        <v>2678</v>
      </c>
      <c r="H670" s="79"/>
      <c r="I670" s="81"/>
      <c r="J670" s="81"/>
      <c r="K670" s="83"/>
      <c r="L670" s="83"/>
    </row>
    <row r="671">
      <c r="A671" s="78"/>
      <c r="B671" s="78" t="s">
        <v>1040</v>
      </c>
      <c r="C671" s="79" t="s">
        <v>2679</v>
      </c>
      <c r="D671" s="79" t="s">
        <v>1051</v>
      </c>
      <c r="E671" s="81" t="s">
        <v>1067</v>
      </c>
      <c r="F671" s="82">
        <f t="shared" si="37"/>
        <v>0</v>
      </c>
      <c r="G671" s="79" t="s">
        <v>2680</v>
      </c>
      <c r="H671" s="79"/>
      <c r="I671" s="81"/>
      <c r="J671" s="81"/>
      <c r="K671" s="83"/>
      <c r="L671" s="83"/>
    </row>
    <row r="672">
      <c r="A672" s="78"/>
      <c r="B672" s="78" t="s">
        <v>1040</v>
      </c>
      <c r="C672" s="79" t="s">
        <v>2681</v>
      </c>
      <c r="D672" s="79" t="s">
        <v>1051</v>
      </c>
      <c r="E672" s="81" t="s">
        <v>1070</v>
      </c>
      <c r="F672" s="82">
        <f t="shared" si="37"/>
        <v>0</v>
      </c>
      <c r="G672" s="79" t="s">
        <v>2682</v>
      </c>
      <c r="H672" s="79"/>
      <c r="I672" s="81"/>
      <c r="J672" s="81"/>
      <c r="K672" s="83"/>
      <c r="L672" s="83"/>
    </row>
    <row r="673">
      <c r="A673" s="78"/>
      <c r="B673" s="78" t="s">
        <v>1040</v>
      </c>
      <c r="C673" s="79" t="s">
        <v>2683</v>
      </c>
      <c r="D673" s="79" t="s">
        <v>1051</v>
      </c>
      <c r="E673" s="81" t="s">
        <v>1073</v>
      </c>
      <c r="F673" s="82">
        <f t="shared" si="37"/>
        <v>0</v>
      </c>
      <c r="G673" s="79" t="s">
        <v>2684</v>
      </c>
      <c r="H673" s="79"/>
      <c r="I673" s="81"/>
      <c r="J673" s="81"/>
      <c r="K673" s="83"/>
      <c r="L673" s="83"/>
    </row>
    <row r="674">
      <c r="A674" s="78"/>
      <c r="B674" s="78" t="s">
        <v>1040</v>
      </c>
      <c r="C674" s="79" t="s">
        <v>2685</v>
      </c>
      <c r="D674" s="79" t="s">
        <v>16</v>
      </c>
      <c r="E674" s="81" t="s">
        <v>1076</v>
      </c>
      <c r="F674" s="82">
        <f t="shared" si="37"/>
        <v>0</v>
      </c>
      <c r="G674" s="79" t="s">
        <v>2686</v>
      </c>
      <c r="H674" s="79"/>
      <c r="I674" s="81"/>
      <c r="J674" s="81"/>
      <c r="K674" s="83"/>
      <c r="L674" s="83"/>
    </row>
    <row r="675">
      <c r="A675" s="78"/>
      <c r="B675" s="78" t="s">
        <v>1040</v>
      </c>
      <c r="C675" s="79" t="s">
        <v>2687</v>
      </c>
      <c r="D675" s="79" t="s">
        <v>40</v>
      </c>
      <c r="E675" s="81" t="s">
        <v>1079</v>
      </c>
      <c r="F675" s="82">
        <f t="shared" si="37"/>
        <v>0</v>
      </c>
      <c r="G675" s="79" t="s">
        <v>2688</v>
      </c>
      <c r="H675" s="79"/>
      <c r="I675" s="81"/>
      <c r="J675" s="81"/>
      <c r="K675" s="83"/>
      <c r="L675" s="83"/>
    </row>
    <row r="676">
      <c r="A676" s="78"/>
      <c r="B676" s="78" t="s">
        <v>1040</v>
      </c>
      <c r="C676" s="79" t="s">
        <v>2689</v>
      </c>
      <c r="D676" s="79" t="s">
        <v>26</v>
      </c>
      <c r="E676" s="81" t="s">
        <v>1082</v>
      </c>
      <c r="F676" s="82">
        <f t="shared" si="37"/>
        <v>0</v>
      </c>
      <c r="G676" s="79" t="s">
        <v>2690</v>
      </c>
      <c r="H676" s="79"/>
      <c r="I676" s="81"/>
      <c r="J676" s="81"/>
      <c r="K676" s="83"/>
      <c r="L676" s="83"/>
    </row>
    <row r="677">
      <c r="A677" s="78"/>
      <c r="B677" s="78" t="s">
        <v>1040</v>
      </c>
      <c r="C677" s="79" t="s">
        <v>2691</v>
      </c>
      <c r="D677" s="79" t="s">
        <v>145</v>
      </c>
      <c r="E677" s="81" t="s">
        <v>1085</v>
      </c>
      <c r="F677" s="82">
        <f t="shared" si="37"/>
        <v>0</v>
      </c>
      <c r="G677" s="79" t="s">
        <v>2692</v>
      </c>
      <c r="H677" s="79"/>
      <c r="I677" s="81"/>
      <c r="J677" s="81"/>
      <c r="K677" s="83"/>
      <c r="L677" s="83"/>
    </row>
    <row r="678">
      <c r="A678" s="78"/>
      <c r="B678" s="78" t="s">
        <v>1040</v>
      </c>
      <c r="C678" s="79" t="s">
        <v>2693</v>
      </c>
      <c r="D678" s="79" t="s">
        <v>1051</v>
      </c>
      <c r="E678" s="81" t="s">
        <v>1088</v>
      </c>
      <c r="F678" s="82">
        <f t="shared" si="37"/>
        <v>0</v>
      </c>
      <c r="G678" s="79" t="s">
        <v>2694</v>
      </c>
      <c r="H678" s="79"/>
      <c r="I678" s="81"/>
      <c r="J678" s="81"/>
      <c r="K678" s="83"/>
      <c r="L678" s="83"/>
    </row>
    <row r="679">
      <c r="A679" s="78"/>
      <c r="B679" s="78" t="s">
        <v>1040</v>
      </c>
      <c r="C679" s="79" t="s">
        <v>2695</v>
      </c>
      <c r="D679" s="79" t="s">
        <v>1051</v>
      </c>
      <c r="E679" s="81" t="s">
        <v>1091</v>
      </c>
      <c r="F679" s="82">
        <f t="shared" si="37"/>
        <v>0</v>
      </c>
      <c r="G679" s="79" t="s">
        <v>2696</v>
      </c>
      <c r="H679" s="79"/>
      <c r="I679" s="81"/>
      <c r="J679" s="81"/>
      <c r="K679" s="83"/>
      <c r="L679" s="83"/>
    </row>
    <row r="680">
      <c r="A680" s="78"/>
      <c r="B680" s="78" t="s">
        <v>1040</v>
      </c>
      <c r="C680" s="79" t="s">
        <v>2697</v>
      </c>
      <c r="D680" s="79" t="s">
        <v>1051</v>
      </c>
      <c r="E680" s="81" t="s">
        <v>1094</v>
      </c>
      <c r="F680" s="82">
        <f t="shared" si="37"/>
        <v>0</v>
      </c>
      <c r="G680" s="79" t="s">
        <v>2698</v>
      </c>
      <c r="H680" s="79"/>
      <c r="I680" s="81"/>
      <c r="J680" s="81"/>
      <c r="K680" s="83"/>
      <c r="L680" s="83"/>
    </row>
    <row r="681">
      <c r="A681" s="78"/>
      <c r="B681" s="78" t="s">
        <v>1040</v>
      </c>
      <c r="C681" s="79" t="s">
        <v>2699</v>
      </c>
      <c r="D681" s="79" t="s">
        <v>1051</v>
      </c>
      <c r="E681" s="81" t="s">
        <v>1097</v>
      </c>
      <c r="F681" s="82">
        <f t="shared" si="37"/>
        <v>0</v>
      </c>
      <c r="G681" s="79" t="s">
        <v>2700</v>
      </c>
      <c r="H681" s="79"/>
      <c r="I681" s="81"/>
      <c r="J681" s="81"/>
      <c r="K681" s="83"/>
      <c r="L681" s="83"/>
    </row>
    <row r="682">
      <c r="A682" s="78"/>
      <c r="B682" s="78" t="s">
        <v>1040</v>
      </c>
      <c r="C682" s="79" t="s">
        <v>2701</v>
      </c>
      <c r="D682" s="79" t="s">
        <v>1051</v>
      </c>
      <c r="E682" s="81" t="s">
        <v>1100</v>
      </c>
      <c r="F682" s="82">
        <f t="shared" si="37"/>
        <v>0</v>
      </c>
      <c r="G682" s="79" t="s">
        <v>2702</v>
      </c>
      <c r="H682" s="79"/>
      <c r="I682" s="81"/>
      <c r="J682" s="81"/>
      <c r="K682" s="83"/>
      <c r="L682" s="83"/>
    </row>
    <row r="683">
      <c r="A683" s="78"/>
      <c r="B683" s="78" t="s">
        <v>1040</v>
      </c>
      <c r="C683" s="79" t="s">
        <v>2703</v>
      </c>
      <c r="D683" s="79" t="s">
        <v>1051</v>
      </c>
      <c r="E683" s="81" t="s">
        <v>1103</v>
      </c>
      <c r="F683" s="82">
        <f t="shared" si="37"/>
        <v>0</v>
      </c>
      <c r="G683" s="79" t="s">
        <v>2704</v>
      </c>
      <c r="H683" s="79"/>
      <c r="I683" s="81"/>
      <c r="J683" s="81"/>
      <c r="K683" s="83"/>
      <c r="L683" s="83"/>
    </row>
    <row r="684">
      <c r="A684" s="78"/>
      <c r="B684" s="78" t="s">
        <v>1040</v>
      </c>
      <c r="C684" s="79" t="s">
        <v>2705</v>
      </c>
      <c r="D684" s="79" t="s">
        <v>1051</v>
      </c>
      <c r="E684" s="81" t="s">
        <v>1106</v>
      </c>
      <c r="F684" s="82">
        <f t="shared" si="37"/>
        <v>0</v>
      </c>
      <c r="G684" s="79" t="s">
        <v>2706</v>
      </c>
      <c r="H684" s="79"/>
      <c r="I684" s="81"/>
      <c r="J684" s="81"/>
      <c r="K684" s="83"/>
      <c r="L684" s="83"/>
    </row>
    <row r="685">
      <c r="A685" s="78"/>
      <c r="B685" s="78" t="s">
        <v>1040</v>
      </c>
      <c r="C685" s="79" t="s">
        <v>2707</v>
      </c>
      <c r="D685" s="79" t="s">
        <v>1051</v>
      </c>
      <c r="E685" s="81" t="s">
        <v>1109</v>
      </c>
      <c r="F685" s="82">
        <f t="shared" si="37"/>
        <v>0</v>
      </c>
      <c r="G685" s="79" t="s">
        <v>2708</v>
      </c>
      <c r="H685" s="79"/>
      <c r="I685" s="81"/>
      <c r="J685" s="81"/>
      <c r="K685" s="83"/>
      <c r="L685" s="83"/>
    </row>
    <row r="686">
      <c r="A686" s="78"/>
      <c r="B686" s="78" t="s">
        <v>1040</v>
      </c>
      <c r="C686" s="79" t="s">
        <v>2709</v>
      </c>
      <c r="D686" s="79" t="s">
        <v>16</v>
      </c>
      <c r="E686" s="81" t="s">
        <v>1112</v>
      </c>
      <c r="F686" s="82">
        <f t="shared" si="37"/>
        <v>0</v>
      </c>
      <c r="G686" s="79" t="s">
        <v>2710</v>
      </c>
      <c r="H686" s="79"/>
      <c r="I686" s="81"/>
      <c r="J686" s="81"/>
      <c r="K686" s="83"/>
      <c r="L686" s="83"/>
    </row>
    <row r="687">
      <c r="A687" s="78"/>
      <c r="B687" s="78" t="s">
        <v>1040</v>
      </c>
      <c r="C687" s="79" t="s">
        <v>2711</v>
      </c>
      <c r="D687" s="79" t="s">
        <v>40</v>
      </c>
      <c r="E687" s="81" t="s">
        <v>1115</v>
      </c>
      <c r="F687" s="82">
        <f t="shared" si="37"/>
        <v>0</v>
      </c>
      <c r="G687" s="79" t="s">
        <v>2712</v>
      </c>
      <c r="H687" s="79"/>
      <c r="I687" s="81"/>
      <c r="J687" s="81"/>
      <c r="K687" s="83"/>
      <c r="L687" s="83"/>
    </row>
    <row r="688">
      <c r="A688" s="78"/>
      <c r="B688" s="78" t="s">
        <v>1040</v>
      </c>
      <c r="C688" s="79" t="s">
        <v>2713</v>
      </c>
      <c r="D688" s="79" t="s">
        <v>26</v>
      </c>
      <c r="E688" s="81" t="s">
        <v>1118</v>
      </c>
      <c r="F688" s="82">
        <f t="shared" si="37"/>
        <v>0</v>
      </c>
      <c r="G688" s="79" t="s">
        <v>2714</v>
      </c>
      <c r="H688" s="79"/>
      <c r="I688" s="81"/>
      <c r="J688" s="81"/>
      <c r="K688" s="83"/>
      <c r="L688" s="83"/>
    </row>
    <row r="689">
      <c r="A689" s="78"/>
      <c r="B689" s="78" t="s">
        <v>1040</v>
      </c>
      <c r="C689" s="79" t="s">
        <v>2715</v>
      </c>
      <c r="D689" s="79" t="s">
        <v>145</v>
      </c>
      <c r="E689" s="81" t="s">
        <v>1121</v>
      </c>
      <c r="F689" s="82">
        <f t="shared" si="37"/>
        <v>0</v>
      </c>
      <c r="G689" s="79" t="s">
        <v>2716</v>
      </c>
      <c r="H689" s="79"/>
      <c r="I689" s="81"/>
      <c r="J689" s="81"/>
      <c r="K689" s="83"/>
      <c r="L689" s="83"/>
    </row>
    <row r="690">
      <c r="A690" s="78"/>
      <c r="B690" s="78" t="s">
        <v>1040</v>
      </c>
      <c r="C690" s="79" t="s">
        <v>2717</v>
      </c>
      <c r="D690" s="79" t="s">
        <v>1051</v>
      </c>
      <c r="E690" s="81" t="s">
        <v>1124</v>
      </c>
      <c r="F690" s="82">
        <f t="shared" si="37"/>
        <v>0</v>
      </c>
      <c r="G690" s="79" t="s">
        <v>2718</v>
      </c>
      <c r="H690" s="79"/>
      <c r="I690" s="81"/>
      <c r="J690" s="81"/>
      <c r="K690" s="83"/>
      <c r="L690" s="83"/>
    </row>
    <row r="691">
      <c r="A691" s="78"/>
      <c r="B691" s="78" t="s">
        <v>1040</v>
      </c>
      <c r="C691" s="79" t="s">
        <v>2719</v>
      </c>
      <c r="D691" s="79" t="s">
        <v>1051</v>
      </c>
      <c r="E691" s="81" t="s">
        <v>1127</v>
      </c>
      <c r="F691" s="82">
        <f t="shared" si="37"/>
        <v>0</v>
      </c>
      <c r="G691" s="79" t="s">
        <v>2720</v>
      </c>
      <c r="H691" s="79"/>
      <c r="I691" s="81"/>
      <c r="J691" s="81"/>
      <c r="K691" s="83"/>
      <c r="L691" s="83"/>
    </row>
    <row r="692">
      <c r="A692" s="78"/>
      <c r="B692" s="78" t="s">
        <v>1040</v>
      </c>
      <c r="C692" s="79" t="s">
        <v>2721</v>
      </c>
      <c r="D692" s="79" t="s">
        <v>1051</v>
      </c>
      <c r="E692" s="81" t="s">
        <v>1130</v>
      </c>
      <c r="F692" s="82">
        <f t="shared" si="37"/>
        <v>0</v>
      </c>
      <c r="G692" s="79" t="s">
        <v>2722</v>
      </c>
      <c r="H692" s="79"/>
      <c r="I692" s="81"/>
      <c r="J692" s="81"/>
      <c r="K692" s="83"/>
      <c r="L692" s="83"/>
    </row>
    <row r="693">
      <c r="A693" s="78"/>
      <c r="B693" s="78" t="s">
        <v>1040</v>
      </c>
      <c r="C693" s="79" t="s">
        <v>2723</v>
      </c>
      <c r="D693" s="79" t="s">
        <v>1051</v>
      </c>
      <c r="E693" s="81" t="s">
        <v>1133</v>
      </c>
      <c r="F693" s="82">
        <f t="shared" si="37"/>
        <v>0</v>
      </c>
      <c r="G693" s="79" t="s">
        <v>2724</v>
      </c>
      <c r="H693" s="79"/>
      <c r="I693" s="81"/>
      <c r="J693" s="81"/>
      <c r="K693" s="83"/>
      <c r="L693" s="83"/>
    </row>
    <row r="694">
      <c r="A694" s="78"/>
      <c r="B694" s="78" t="s">
        <v>1040</v>
      </c>
      <c r="C694" s="79" t="s">
        <v>2725</v>
      </c>
      <c r="D694" s="79" t="s">
        <v>1051</v>
      </c>
      <c r="E694" s="81" t="s">
        <v>1136</v>
      </c>
      <c r="F694" s="82">
        <f t="shared" si="37"/>
        <v>0</v>
      </c>
      <c r="G694" s="79" t="s">
        <v>2726</v>
      </c>
      <c r="H694" s="79"/>
      <c r="I694" s="81"/>
      <c r="J694" s="81"/>
      <c r="K694" s="83"/>
      <c r="L694" s="83"/>
    </row>
    <row r="695">
      <c r="A695" s="78"/>
      <c r="B695" s="78" t="s">
        <v>1040</v>
      </c>
      <c r="C695" s="79" t="s">
        <v>2727</v>
      </c>
      <c r="D695" s="79" t="s">
        <v>1051</v>
      </c>
      <c r="E695" s="81" t="s">
        <v>1139</v>
      </c>
      <c r="F695" s="82">
        <f t="shared" si="37"/>
        <v>0</v>
      </c>
      <c r="G695" s="79" t="s">
        <v>2728</v>
      </c>
      <c r="H695" s="79"/>
      <c r="I695" s="81"/>
      <c r="J695" s="81"/>
      <c r="K695" s="83"/>
      <c r="L695" s="83"/>
    </row>
    <row r="696">
      <c r="A696" s="78"/>
      <c r="B696" s="78" t="s">
        <v>1040</v>
      </c>
      <c r="C696" s="79" t="s">
        <v>2729</v>
      </c>
      <c r="D696" s="79" t="s">
        <v>1051</v>
      </c>
      <c r="E696" s="81" t="s">
        <v>1142</v>
      </c>
      <c r="F696" s="82">
        <f t="shared" si="37"/>
        <v>0</v>
      </c>
      <c r="G696" s="79" t="s">
        <v>2730</v>
      </c>
      <c r="H696" s="79"/>
      <c r="I696" s="81"/>
      <c r="J696" s="81"/>
      <c r="K696" s="83"/>
      <c r="L696" s="83"/>
    </row>
    <row r="697">
      <c r="A697" s="78"/>
      <c r="B697" s="78" t="s">
        <v>1040</v>
      </c>
      <c r="C697" s="79" t="s">
        <v>2731</v>
      </c>
      <c r="D697" s="79" t="s">
        <v>1051</v>
      </c>
      <c r="E697" s="81" t="s">
        <v>1145</v>
      </c>
      <c r="F697" s="82">
        <f t="shared" si="37"/>
        <v>0</v>
      </c>
      <c r="G697" s="79" t="s">
        <v>2732</v>
      </c>
      <c r="H697" s="79"/>
      <c r="I697" s="81"/>
      <c r="J697" s="81"/>
      <c r="K697" s="83"/>
      <c r="L697" s="83"/>
    </row>
    <row r="698">
      <c r="A698" s="78"/>
      <c r="B698" s="78" t="s">
        <v>1040</v>
      </c>
      <c r="C698" s="79" t="s">
        <v>2733</v>
      </c>
      <c r="D698" s="79" t="s">
        <v>16</v>
      </c>
      <c r="E698" s="81" t="s">
        <v>1148</v>
      </c>
      <c r="F698" s="82">
        <f t="shared" si="37"/>
        <v>0</v>
      </c>
      <c r="G698" s="79" t="s">
        <v>2734</v>
      </c>
      <c r="H698" s="79"/>
      <c r="I698" s="81"/>
      <c r="J698" s="81"/>
      <c r="K698" s="83"/>
      <c r="L698" s="83"/>
    </row>
    <row r="699">
      <c r="A699" s="33"/>
      <c r="B699" s="33"/>
      <c r="C699" s="12"/>
      <c r="D699" s="12"/>
      <c r="E699" s="15"/>
      <c r="F699" s="14"/>
      <c r="G699" s="12"/>
      <c r="H699" s="12"/>
      <c r="I699" s="15"/>
      <c r="J699" s="15"/>
    </row>
    <row r="700">
      <c r="A700" s="78" t="s">
        <v>2576</v>
      </c>
      <c r="B700" s="89" t="s">
        <v>1150</v>
      </c>
      <c r="C700" s="80" t="s">
        <v>2735</v>
      </c>
      <c r="D700" s="80" t="s">
        <v>16</v>
      </c>
      <c r="E700" s="90" t="s">
        <v>2736</v>
      </c>
      <c r="F700" s="82">
        <f t="shared" ref="F700:F720" si="38">counta(I700:J700)</f>
        <v>1</v>
      </c>
      <c r="G700" s="79" t="s">
        <v>2737</v>
      </c>
      <c r="H700" s="80"/>
      <c r="I700" s="85"/>
      <c r="J700" s="81" t="s">
        <v>2738</v>
      </c>
      <c r="K700" s="83"/>
      <c r="L700" s="83"/>
    </row>
    <row r="701">
      <c r="A701" s="78"/>
      <c r="B701" s="89" t="s">
        <v>1150</v>
      </c>
      <c r="C701" s="79" t="s">
        <v>2739</v>
      </c>
      <c r="D701" s="79" t="s">
        <v>40</v>
      </c>
      <c r="E701" s="81" t="s">
        <v>2740</v>
      </c>
      <c r="F701" s="82">
        <f t="shared" si="38"/>
        <v>1</v>
      </c>
      <c r="G701" s="79" t="s">
        <v>2741</v>
      </c>
      <c r="H701" s="79"/>
      <c r="I701" s="85"/>
      <c r="J701" s="81" t="s">
        <v>2742</v>
      </c>
      <c r="K701" s="83"/>
      <c r="L701" s="83"/>
    </row>
    <row r="702">
      <c r="A702" s="78"/>
      <c r="B702" s="89" t="s">
        <v>1150</v>
      </c>
      <c r="C702" s="80" t="s">
        <v>2743</v>
      </c>
      <c r="D702" s="80" t="s">
        <v>26</v>
      </c>
      <c r="E702" s="84" t="s">
        <v>2744</v>
      </c>
      <c r="F702" s="82">
        <f t="shared" si="38"/>
        <v>2</v>
      </c>
      <c r="G702" s="79" t="s">
        <v>2745</v>
      </c>
      <c r="H702" s="80"/>
      <c r="I702" s="91" t="s">
        <v>2746</v>
      </c>
      <c r="J702" s="81" t="s">
        <v>2747</v>
      </c>
      <c r="K702" s="83"/>
      <c r="L702" s="83"/>
    </row>
    <row r="703">
      <c r="A703" s="78"/>
      <c r="B703" s="89" t="s">
        <v>1150</v>
      </c>
      <c r="C703" s="80" t="s">
        <v>2748</v>
      </c>
      <c r="D703" s="80" t="s">
        <v>145</v>
      </c>
      <c r="E703" s="84" t="s">
        <v>2749</v>
      </c>
      <c r="F703" s="82">
        <f t="shared" si="38"/>
        <v>2</v>
      </c>
      <c r="G703" s="79" t="s">
        <v>2750</v>
      </c>
      <c r="H703" s="80"/>
      <c r="I703" s="91" t="s">
        <v>2751</v>
      </c>
      <c r="J703" s="81" t="s">
        <v>2752</v>
      </c>
      <c r="K703" s="83"/>
      <c r="L703" s="83"/>
    </row>
    <row r="704">
      <c r="A704" s="78"/>
      <c r="B704" s="89" t="s">
        <v>1150</v>
      </c>
      <c r="C704" s="79" t="s">
        <v>2753</v>
      </c>
      <c r="D704" s="79" t="s">
        <v>1168</v>
      </c>
      <c r="E704" s="81" t="s">
        <v>2754</v>
      </c>
      <c r="F704" s="82">
        <f t="shared" si="38"/>
        <v>2</v>
      </c>
      <c r="G704" s="79" t="s">
        <v>2755</v>
      </c>
      <c r="H704" s="79"/>
      <c r="I704" s="91" t="s">
        <v>2756</v>
      </c>
      <c r="J704" s="81" t="s">
        <v>2757</v>
      </c>
      <c r="K704" s="83"/>
      <c r="L704" s="83"/>
    </row>
    <row r="705">
      <c r="A705" s="78"/>
      <c r="B705" s="89" t="s">
        <v>1150</v>
      </c>
      <c r="C705" s="79" t="s">
        <v>2758</v>
      </c>
      <c r="D705" s="79" t="s">
        <v>1174</v>
      </c>
      <c r="E705" s="81" t="s">
        <v>2759</v>
      </c>
      <c r="F705" s="82">
        <f t="shared" si="38"/>
        <v>2</v>
      </c>
      <c r="G705" s="79" t="s">
        <v>2760</v>
      </c>
      <c r="H705" s="79"/>
      <c r="I705" s="91" t="s">
        <v>2761</v>
      </c>
      <c r="J705" s="81" t="s">
        <v>2762</v>
      </c>
      <c r="K705" s="83"/>
      <c r="L705" s="83"/>
    </row>
    <row r="706">
      <c r="A706" s="78"/>
      <c r="B706" s="89" t="s">
        <v>1150</v>
      </c>
      <c r="C706" s="79" t="s">
        <v>2763</v>
      </c>
      <c r="D706" s="79" t="s">
        <v>1180</v>
      </c>
      <c r="E706" s="81" t="s">
        <v>2764</v>
      </c>
      <c r="F706" s="82">
        <f t="shared" si="38"/>
        <v>2</v>
      </c>
      <c r="G706" s="79" t="s">
        <v>2765</v>
      </c>
      <c r="H706" s="79"/>
      <c r="I706" s="91" t="s">
        <v>2766</v>
      </c>
      <c r="J706" s="81" t="s">
        <v>2767</v>
      </c>
      <c r="K706" s="83"/>
      <c r="L706" s="83"/>
    </row>
    <row r="707">
      <c r="A707" s="78"/>
      <c r="B707" s="89" t="s">
        <v>1150</v>
      </c>
      <c r="C707" s="80" t="s">
        <v>2768</v>
      </c>
      <c r="D707" s="80" t="s">
        <v>1186</v>
      </c>
      <c r="E707" s="84" t="s">
        <v>2769</v>
      </c>
      <c r="F707" s="82">
        <f t="shared" si="38"/>
        <v>2</v>
      </c>
      <c r="G707" s="79" t="s">
        <v>2770</v>
      </c>
      <c r="H707" s="80"/>
      <c r="I707" s="91" t="s">
        <v>2771</v>
      </c>
      <c r="J707" s="81" t="s">
        <v>2772</v>
      </c>
      <c r="K707" s="83"/>
      <c r="L707" s="83"/>
    </row>
    <row r="708">
      <c r="A708" s="78"/>
      <c r="B708" s="89" t="s">
        <v>1150</v>
      </c>
      <c r="C708" s="79" t="s">
        <v>2773</v>
      </c>
      <c r="D708" s="79" t="s">
        <v>1192</v>
      </c>
      <c r="E708" s="81" t="s">
        <v>2774</v>
      </c>
      <c r="F708" s="82">
        <f t="shared" si="38"/>
        <v>2</v>
      </c>
      <c r="G708" s="79" t="s">
        <v>2775</v>
      </c>
      <c r="H708" s="79"/>
      <c r="I708" s="91" t="s">
        <v>2776</v>
      </c>
      <c r="J708" s="81" t="s">
        <v>2777</v>
      </c>
      <c r="K708" s="83"/>
      <c r="L708" s="83"/>
    </row>
    <row r="709">
      <c r="A709" s="78"/>
      <c r="B709" s="89" t="s">
        <v>1150</v>
      </c>
      <c r="C709" s="79" t="s">
        <v>2778</v>
      </c>
      <c r="D709" s="79" t="s">
        <v>1198</v>
      </c>
      <c r="E709" s="81" t="s">
        <v>2779</v>
      </c>
      <c r="F709" s="82">
        <f t="shared" si="38"/>
        <v>2</v>
      </c>
      <c r="G709" s="79" t="s">
        <v>2780</v>
      </c>
      <c r="H709" s="79"/>
      <c r="I709" s="91" t="s">
        <v>2781</v>
      </c>
      <c r="J709" s="81" t="s">
        <v>2782</v>
      </c>
      <c r="K709" s="83"/>
      <c r="L709" s="83"/>
    </row>
    <row r="710">
      <c r="A710" s="78"/>
      <c r="B710" s="89" t="s">
        <v>1150</v>
      </c>
      <c r="C710" s="79" t="s">
        <v>2783</v>
      </c>
      <c r="D710" s="79" t="s">
        <v>1204</v>
      </c>
      <c r="E710" s="81" t="s">
        <v>2784</v>
      </c>
      <c r="F710" s="82">
        <f t="shared" si="38"/>
        <v>2</v>
      </c>
      <c r="G710" s="79" t="s">
        <v>2785</v>
      </c>
      <c r="H710" s="79"/>
      <c r="I710" s="91" t="s">
        <v>2786</v>
      </c>
      <c r="J710" s="81" t="s">
        <v>2787</v>
      </c>
      <c r="K710" s="83"/>
      <c r="L710" s="83"/>
    </row>
    <row r="711">
      <c r="A711" s="78"/>
      <c r="B711" s="89" t="s">
        <v>1150</v>
      </c>
      <c r="C711" s="79" t="s">
        <v>2788</v>
      </c>
      <c r="D711" s="79" t="s">
        <v>1210</v>
      </c>
      <c r="E711" s="81" t="s">
        <v>2789</v>
      </c>
      <c r="F711" s="82">
        <f t="shared" si="38"/>
        <v>2</v>
      </c>
      <c r="G711" s="79" t="s">
        <v>2790</v>
      </c>
      <c r="H711" s="79"/>
      <c r="I711" s="91" t="s">
        <v>2791</v>
      </c>
      <c r="J711" s="81" t="s">
        <v>2792</v>
      </c>
      <c r="K711" s="83"/>
      <c r="L711" s="83"/>
    </row>
    <row r="712">
      <c r="A712" s="78"/>
      <c r="B712" s="89" t="s">
        <v>1150</v>
      </c>
      <c r="C712" s="80" t="s">
        <v>2793</v>
      </c>
      <c r="D712" s="80" t="s">
        <v>1216</v>
      </c>
      <c r="E712" s="84" t="s">
        <v>2794</v>
      </c>
      <c r="F712" s="82">
        <f t="shared" si="38"/>
        <v>2</v>
      </c>
      <c r="G712" s="79" t="s">
        <v>2795</v>
      </c>
      <c r="H712" s="80"/>
      <c r="I712" s="91" t="s">
        <v>2796</v>
      </c>
      <c r="J712" s="81" t="s">
        <v>2797</v>
      </c>
      <c r="K712" s="83"/>
      <c r="L712" s="83"/>
    </row>
    <row r="713">
      <c r="A713" s="78"/>
      <c r="B713" s="89" t="s">
        <v>1150</v>
      </c>
      <c r="C713" s="79" t="s">
        <v>2798</v>
      </c>
      <c r="D713" s="79" t="s">
        <v>40</v>
      </c>
      <c r="E713" s="81" t="s">
        <v>2799</v>
      </c>
      <c r="F713" s="82">
        <f t="shared" si="38"/>
        <v>2</v>
      </c>
      <c r="G713" s="79" t="s">
        <v>2800</v>
      </c>
      <c r="H713" s="79"/>
      <c r="I713" s="92" t="s">
        <v>2801</v>
      </c>
      <c r="J713" s="81" t="s">
        <v>2802</v>
      </c>
      <c r="K713" s="83"/>
      <c r="L713" s="83"/>
    </row>
    <row r="714">
      <c r="A714" s="78"/>
      <c r="B714" s="89" t="s">
        <v>1150</v>
      </c>
      <c r="C714" s="79" t="s">
        <v>2803</v>
      </c>
      <c r="D714" s="79" t="s">
        <v>40</v>
      </c>
      <c r="E714" s="81" t="s">
        <v>2804</v>
      </c>
      <c r="F714" s="82">
        <f t="shared" si="38"/>
        <v>2</v>
      </c>
      <c r="G714" s="79" t="s">
        <v>2805</v>
      </c>
      <c r="H714" s="79"/>
      <c r="I714" s="91" t="s">
        <v>2806</v>
      </c>
      <c r="J714" s="81" t="s">
        <v>2807</v>
      </c>
      <c r="K714" s="83"/>
      <c r="L714" s="83"/>
    </row>
    <row r="715">
      <c r="A715" s="78"/>
      <c r="B715" s="89" t="s">
        <v>1150</v>
      </c>
      <c r="C715" s="79" t="s">
        <v>2808</v>
      </c>
      <c r="D715" s="79" t="s">
        <v>40</v>
      </c>
      <c r="E715" s="81" t="s">
        <v>2809</v>
      </c>
      <c r="F715" s="82">
        <f t="shared" si="38"/>
        <v>2</v>
      </c>
      <c r="G715" s="79" t="s">
        <v>2810</v>
      </c>
      <c r="H715" s="79"/>
      <c r="I715" s="91" t="s">
        <v>2811</v>
      </c>
      <c r="J715" s="81" t="s">
        <v>2812</v>
      </c>
      <c r="K715" s="83"/>
      <c r="L715" s="83"/>
    </row>
    <row r="716">
      <c r="A716" s="78"/>
      <c r="B716" s="89" t="s">
        <v>1150</v>
      </c>
      <c r="C716" s="79" t="s">
        <v>2813</v>
      </c>
      <c r="D716" s="79" t="s">
        <v>40</v>
      </c>
      <c r="E716" s="81" t="s">
        <v>2814</v>
      </c>
      <c r="F716" s="82">
        <f t="shared" si="38"/>
        <v>2</v>
      </c>
      <c r="G716" s="79" t="s">
        <v>2815</v>
      </c>
      <c r="H716" s="79"/>
      <c r="I716" s="91" t="s">
        <v>2816</v>
      </c>
      <c r="J716" s="81" t="s">
        <v>2817</v>
      </c>
      <c r="K716" s="83"/>
      <c r="L716" s="83"/>
    </row>
    <row r="717">
      <c r="A717" s="78"/>
      <c r="B717" s="89" t="s">
        <v>1150</v>
      </c>
      <c r="C717" s="79" t="s">
        <v>2818</v>
      </c>
      <c r="D717" s="79" t="s">
        <v>40</v>
      </c>
      <c r="E717" s="81" t="s">
        <v>2819</v>
      </c>
      <c r="F717" s="82">
        <f t="shared" si="38"/>
        <v>2</v>
      </c>
      <c r="G717" s="79" t="s">
        <v>2820</v>
      </c>
      <c r="H717" s="79"/>
      <c r="I717" s="91" t="s">
        <v>2821</v>
      </c>
      <c r="J717" s="81" t="s">
        <v>2822</v>
      </c>
      <c r="K717" s="83"/>
      <c r="L717" s="83"/>
    </row>
    <row r="718">
      <c r="A718" s="78"/>
      <c r="B718" s="89" t="s">
        <v>1150</v>
      </c>
      <c r="C718" s="79" t="s">
        <v>2823</v>
      </c>
      <c r="D718" s="79" t="s">
        <v>40</v>
      </c>
      <c r="E718" s="81" t="s">
        <v>2824</v>
      </c>
      <c r="F718" s="82">
        <f t="shared" si="38"/>
        <v>2</v>
      </c>
      <c r="G718" s="79" t="s">
        <v>2825</v>
      </c>
      <c r="H718" s="79"/>
      <c r="I718" s="91" t="s">
        <v>2826</v>
      </c>
      <c r="J718" s="81" t="s">
        <v>2827</v>
      </c>
      <c r="K718" s="83"/>
      <c r="L718" s="83"/>
    </row>
    <row r="719">
      <c r="A719" s="78"/>
      <c r="B719" s="89" t="s">
        <v>1150</v>
      </c>
      <c r="C719" s="79" t="s">
        <v>2828</v>
      </c>
      <c r="D719" s="79" t="s">
        <v>40</v>
      </c>
      <c r="E719" s="93" t="s">
        <v>2829</v>
      </c>
      <c r="F719" s="82">
        <f t="shared" si="38"/>
        <v>1</v>
      </c>
      <c r="G719" s="79" t="s">
        <v>2830</v>
      </c>
      <c r="H719" s="79"/>
      <c r="I719" s="91" t="s">
        <v>2831</v>
      </c>
      <c r="J719" s="85"/>
      <c r="K719" s="83"/>
      <c r="L719" s="83"/>
    </row>
    <row r="720">
      <c r="A720" s="78"/>
      <c r="B720" s="89" t="s">
        <v>1150</v>
      </c>
      <c r="C720" s="80" t="s">
        <v>2832</v>
      </c>
      <c r="D720" s="79" t="s">
        <v>40</v>
      </c>
      <c r="E720" s="94"/>
      <c r="F720" s="82">
        <f t="shared" si="38"/>
        <v>1</v>
      </c>
      <c r="G720" s="79" t="s">
        <v>2833</v>
      </c>
      <c r="H720" s="80"/>
      <c r="I720" s="91"/>
      <c r="J720" s="81" t="s">
        <v>2834</v>
      </c>
      <c r="K720" s="83"/>
      <c r="L720" s="83"/>
    </row>
    <row r="721">
      <c r="A721" s="33"/>
      <c r="B721" s="33"/>
      <c r="C721" s="12"/>
      <c r="D721" s="12"/>
      <c r="E721" s="15"/>
      <c r="F721" s="14"/>
      <c r="G721" s="12"/>
      <c r="H721" s="12"/>
      <c r="I721" s="15"/>
      <c r="J721" s="15"/>
    </row>
    <row r="722">
      <c r="A722" s="78" t="s">
        <v>2576</v>
      </c>
      <c r="B722" s="78" t="s">
        <v>2835</v>
      </c>
      <c r="C722" s="79" t="s">
        <v>15</v>
      </c>
      <c r="D722" s="79" t="s">
        <v>16</v>
      </c>
      <c r="E722" s="81"/>
      <c r="F722" s="82">
        <f t="shared" ref="F722:F872" si="39">counta(I722:J722)</f>
        <v>1</v>
      </c>
      <c r="G722" s="79" t="s">
        <v>18</v>
      </c>
      <c r="H722" s="79"/>
      <c r="I722" s="81"/>
      <c r="J722" s="81" t="s">
        <v>2836</v>
      </c>
      <c r="K722" s="83"/>
      <c r="L722" s="83"/>
    </row>
    <row r="723">
      <c r="A723" s="78"/>
      <c r="B723" s="78" t="s">
        <v>2835</v>
      </c>
      <c r="C723" s="79" t="s">
        <v>2837</v>
      </c>
      <c r="D723" s="79" t="s">
        <v>40</v>
      </c>
      <c r="E723" s="81" t="s">
        <v>2838</v>
      </c>
      <c r="F723" s="82">
        <f t="shared" si="39"/>
        <v>2</v>
      </c>
      <c r="G723" s="79" t="s">
        <v>2839</v>
      </c>
      <c r="H723" s="79"/>
      <c r="I723" s="81" t="s">
        <v>2840</v>
      </c>
      <c r="J723" s="81" t="s">
        <v>2841</v>
      </c>
      <c r="K723" s="83"/>
      <c r="L723" s="83"/>
    </row>
    <row r="724">
      <c r="A724" s="78"/>
      <c r="B724" s="78" t="s">
        <v>2835</v>
      </c>
      <c r="C724" s="79" t="s">
        <v>2842</v>
      </c>
      <c r="D724" s="79" t="s">
        <v>40</v>
      </c>
      <c r="E724" s="81"/>
      <c r="F724" s="82">
        <f t="shared" si="39"/>
        <v>1</v>
      </c>
      <c r="G724" s="79" t="s">
        <v>2843</v>
      </c>
      <c r="H724" s="79"/>
      <c r="I724" s="81"/>
      <c r="J724" s="81" t="s">
        <v>2844</v>
      </c>
      <c r="K724" s="83"/>
      <c r="L724" s="83"/>
    </row>
    <row r="725">
      <c r="A725" s="78"/>
      <c r="B725" s="78" t="s">
        <v>2835</v>
      </c>
      <c r="C725" s="79" t="s">
        <v>2845</v>
      </c>
      <c r="D725" s="79" t="s">
        <v>40</v>
      </c>
      <c r="E725" s="81" t="s">
        <v>2846</v>
      </c>
      <c r="F725" s="82">
        <f t="shared" si="39"/>
        <v>1</v>
      </c>
      <c r="G725" s="79" t="s">
        <v>2847</v>
      </c>
      <c r="H725" s="79"/>
      <c r="I725" s="81" t="s">
        <v>2848</v>
      </c>
      <c r="J725" s="83"/>
      <c r="K725" s="83"/>
      <c r="L725" s="83"/>
    </row>
    <row r="726">
      <c r="A726" s="78"/>
      <c r="B726" s="78" t="s">
        <v>2835</v>
      </c>
      <c r="C726" s="79" t="s">
        <v>2849</v>
      </c>
      <c r="D726" s="79" t="s">
        <v>2849</v>
      </c>
      <c r="E726" s="81" t="s">
        <v>2850</v>
      </c>
      <c r="F726" s="82">
        <f t="shared" si="39"/>
        <v>1</v>
      </c>
      <c r="G726" s="79" t="s">
        <v>2851</v>
      </c>
      <c r="H726" s="79"/>
      <c r="I726" s="81"/>
      <c r="J726" s="81" t="s">
        <v>2852</v>
      </c>
      <c r="K726" s="83"/>
      <c r="L726" s="83"/>
    </row>
    <row r="727">
      <c r="A727" s="78"/>
      <c r="B727" s="78" t="s">
        <v>2835</v>
      </c>
      <c r="C727" s="79" t="s">
        <v>2853</v>
      </c>
      <c r="D727" s="79" t="s">
        <v>2849</v>
      </c>
      <c r="E727" s="81"/>
      <c r="F727" s="82">
        <f t="shared" si="39"/>
        <v>1</v>
      </c>
      <c r="G727" s="79" t="s">
        <v>2854</v>
      </c>
      <c r="H727" s="79"/>
      <c r="I727" s="81"/>
      <c r="J727" s="81" t="s">
        <v>2855</v>
      </c>
      <c r="K727" s="83"/>
      <c r="L727" s="83"/>
    </row>
    <row r="728">
      <c r="A728" s="78"/>
      <c r="B728" s="78" t="s">
        <v>2835</v>
      </c>
      <c r="C728" s="79" t="s">
        <v>2856</v>
      </c>
      <c r="D728" s="79" t="s">
        <v>26</v>
      </c>
      <c r="E728" s="81" t="s">
        <v>2857</v>
      </c>
      <c r="F728" s="82">
        <f t="shared" si="39"/>
        <v>1</v>
      </c>
      <c r="G728" s="79" t="s">
        <v>2858</v>
      </c>
      <c r="H728" s="79"/>
      <c r="I728" s="81" t="s">
        <v>2859</v>
      </c>
      <c r="J728" s="95"/>
      <c r="K728" s="83"/>
      <c r="L728" s="83"/>
    </row>
    <row r="729">
      <c r="A729" s="78"/>
      <c r="B729" s="78" t="s">
        <v>2835</v>
      </c>
      <c r="C729" s="79" t="s">
        <v>2860</v>
      </c>
      <c r="D729" s="79" t="s">
        <v>145</v>
      </c>
      <c r="E729" s="81" t="s">
        <v>2861</v>
      </c>
      <c r="F729" s="82">
        <f t="shared" si="39"/>
        <v>1</v>
      </c>
      <c r="G729" s="79" t="s">
        <v>2862</v>
      </c>
      <c r="H729" s="79"/>
      <c r="I729" s="81" t="s">
        <v>2863</v>
      </c>
      <c r="J729" s="95"/>
      <c r="K729" s="83"/>
      <c r="L729" s="83"/>
    </row>
    <row r="730">
      <c r="A730" s="78"/>
      <c r="B730" s="78" t="s">
        <v>2835</v>
      </c>
      <c r="C730" s="79" t="s">
        <v>2864</v>
      </c>
      <c r="D730" s="79" t="s">
        <v>16</v>
      </c>
      <c r="E730" s="81"/>
      <c r="F730" s="82">
        <f t="shared" si="39"/>
        <v>1</v>
      </c>
      <c r="G730" s="79" t="s">
        <v>2865</v>
      </c>
      <c r="H730" s="79"/>
      <c r="I730" s="81"/>
      <c r="J730" s="81" t="s">
        <v>2866</v>
      </c>
      <c r="K730" s="83"/>
      <c r="L730" s="83"/>
    </row>
    <row r="731">
      <c r="A731" s="78"/>
      <c r="B731" s="78" t="s">
        <v>2835</v>
      </c>
      <c r="C731" s="79" t="s">
        <v>2867</v>
      </c>
      <c r="D731" s="79" t="s">
        <v>26</v>
      </c>
      <c r="E731" s="81" t="s">
        <v>2868</v>
      </c>
      <c r="F731" s="82">
        <f t="shared" si="39"/>
        <v>2</v>
      </c>
      <c r="G731" s="79" t="s">
        <v>2869</v>
      </c>
      <c r="H731" s="79"/>
      <c r="I731" s="81" t="s">
        <v>2870</v>
      </c>
      <c r="J731" s="81" t="s">
        <v>2871</v>
      </c>
      <c r="K731" s="83"/>
      <c r="L731" s="83"/>
    </row>
    <row r="732">
      <c r="A732" s="78"/>
      <c r="B732" s="78" t="s">
        <v>2835</v>
      </c>
      <c r="C732" s="79" t="s">
        <v>2872</v>
      </c>
      <c r="D732" s="79" t="s">
        <v>26</v>
      </c>
      <c r="E732" s="81" t="s">
        <v>2873</v>
      </c>
      <c r="F732" s="82">
        <f t="shared" si="39"/>
        <v>1</v>
      </c>
      <c r="G732" s="79" t="s">
        <v>2874</v>
      </c>
      <c r="H732" s="79"/>
      <c r="I732" s="81"/>
      <c r="J732" s="81" t="s">
        <v>2875</v>
      </c>
      <c r="K732" s="83"/>
      <c r="L732" s="83"/>
    </row>
    <row r="733">
      <c r="A733" s="78"/>
      <c r="B733" s="78" t="s">
        <v>2835</v>
      </c>
      <c r="C733" s="79" t="s">
        <v>2876</v>
      </c>
      <c r="D733" s="79" t="s">
        <v>2876</v>
      </c>
      <c r="E733" s="81" t="s">
        <v>2877</v>
      </c>
      <c r="F733" s="82">
        <f t="shared" si="39"/>
        <v>2</v>
      </c>
      <c r="G733" s="79" t="s">
        <v>2878</v>
      </c>
      <c r="H733" s="79"/>
      <c r="I733" s="81" t="s">
        <v>2879</v>
      </c>
      <c r="J733" s="81" t="s">
        <v>2880</v>
      </c>
      <c r="K733" s="83"/>
      <c r="L733" s="83"/>
    </row>
    <row r="734">
      <c r="A734" s="78"/>
      <c r="B734" s="78" t="s">
        <v>2835</v>
      </c>
      <c r="C734" s="79" t="s">
        <v>2881</v>
      </c>
      <c r="D734" s="79" t="s">
        <v>2876</v>
      </c>
      <c r="E734" s="81"/>
      <c r="F734" s="82">
        <f t="shared" si="39"/>
        <v>1</v>
      </c>
      <c r="G734" s="79" t="s">
        <v>2882</v>
      </c>
      <c r="H734" s="79"/>
      <c r="I734" s="81"/>
      <c r="J734" s="81" t="s">
        <v>2883</v>
      </c>
      <c r="K734" s="83"/>
      <c r="L734" s="83"/>
    </row>
    <row r="735">
      <c r="A735" s="78"/>
      <c r="B735" s="78" t="s">
        <v>2835</v>
      </c>
      <c r="C735" s="79" t="s">
        <v>2884</v>
      </c>
      <c r="D735" s="79" t="s">
        <v>16</v>
      </c>
      <c r="E735" s="81" t="s">
        <v>2885</v>
      </c>
      <c r="F735" s="82">
        <f t="shared" si="39"/>
        <v>1</v>
      </c>
      <c r="G735" s="79" t="s">
        <v>2886</v>
      </c>
      <c r="H735" s="79"/>
      <c r="I735" s="81"/>
      <c r="J735" s="81" t="s">
        <v>2887</v>
      </c>
      <c r="K735" s="83"/>
      <c r="L735" s="83"/>
    </row>
    <row r="736">
      <c r="A736" s="78"/>
      <c r="B736" s="78" t="s">
        <v>2835</v>
      </c>
      <c r="C736" s="79" t="s">
        <v>2856</v>
      </c>
      <c r="D736" s="79" t="s">
        <v>26</v>
      </c>
      <c r="E736" s="81" t="s">
        <v>2857</v>
      </c>
      <c r="F736" s="82">
        <f t="shared" si="39"/>
        <v>2</v>
      </c>
      <c r="G736" s="79" t="s">
        <v>2858</v>
      </c>
      <c r="H736" s="79"/>
      <c r="I736" s="81" t="s">
        <v>2888</v>
      </c>
      <c r="J736" s="81" t="s">
        <v>2889</v>
      </c>
      <c r="K736" s="83"/>
      <c r="L736" s="83"/>
    </row>
    <row r="737">
      <c r="A737" s="78"/>
      <c r="B737" s="78" t="s">
        <v>2835</v>
      </c>
      <c r="C737" s="79" t="s">
        <v>2860</v>
      </c>
      <c r="D737" s="79" t="s">
        <v>145</v>
      </c>
      <c r="E737" s="81" t="s">
        <v>2861</v>
      </c>
      <c r="F737" s="82">
        <f t="shared" si="39"/>
        <v>2</v>
      </c>
      <c r="G737" s="79" t="s">
        <v>2862</v>
      </c>
      <c r="H737" s="79"/>
      <c r="I737" s="81" t="s">
        <v>2890</v>
      </c>
      <c r="J737" s="81" t="s">
        <v>2891</v>
      </c>
      <c r="K737" s="83"/>
      <c r="L737" s="83"/>
    </row>
    <row r="738">
      <c r="A738" s="78"/>
      <c r="B738" s="78" t="s">
        <v>2835</v>
      </c>
      <c r="C738" s="79" t="s">
        <v>2892</v>
      </c>
      <c r="D738" s="79" t="s">
        <v>40</v>
      </c>
      <c r="E738" s="81" t="s">
        <v>2893</v>
      </c>
      <c r="F738" s="82">
        <f t="shared" si="39"/>
        <v>1</v>
      </c>
      <c r="G738" s="79" t="s">
        <v>2894</v>
      </c>
      <c r="H738" s="79"/>
      <c r="I738" s="81" t="s">
        <v>2895</v>
      </c>
      <c r="J738" s="95"/>
      <c r="K738" s="83"/>
      <c r="L738" s="83"/>
    </row>
    <row r="739">
      <c r="A739" s="78"/>
      <c r="B739" s="78" t="s">
        <v>2835</v>
      </c>
      <c r="C739" s="79" t="s">
        <v>2896</v>
      </c>
      <c r="D739" s="96" t="s">
        <v>2897</v>
      </c>
      <c r="E739" s="81" t="s">
        <v>2898</v>
      </c>
      <c r="F739" s="82">
        <f t="shared" si="39"/>
        <v>1</v>
      </c>
      <c r="G739" s="79" t="s">
        <v>2899</v>
      </c>
      <c r="H739" s="79"/>
      <c r="I739" s="81" t="s">
        <v>2900</v>
      </c>
      <c r="J739" s="95"/>
      <c r="K739" s="83"/>
      <c r="L739" s="83"/>
    </row>
    <row r="740">
      <c r="A740" s="78"/>
      <c r="B740" s="78" t="s">
        <v>2835</v>
      </c>
      <c r="C740" s="79"/>
      <c r="D740" s="79" t="s">
        <v>26</v>
      </c>
      <c r="E740" s="81"/>
      <c r="F740" s="82">
        <f t="shared" si="39"/>
        <v>2</v>
      </c>
      <c r="G740" s="79" t="s">
        <v>851</v>
      </c>
      <c r="H740" s="79"/>
      <c r="I740" s="81" t="s">
        <v>2901</v>
      </c>
      <c r="J740" s="81" t="s">
        <v>2901</v>
      </c>
      <c r="K740" s="83"/>
      <c r="L740" s="83"/>
    </row>
    <row r="741">
      <c r="A741" s="78"/>
      <c r="B741" s="78" t="s">
        <v>2835</v>
      </c>
      <c r="C741" s="79"/>
      <c r="D741" s="79" t="s">
        <v>26</v>
      </c>
      <c r="E741" s="81"/>
      <c r="F741" s="82">
        <f t="shared" si="39"/>
        <v>2</v>
      </c>
      <c r="G741" s="79" t="s">
        <v>851</v>
      </c>
      <c r="H741" s="79"/>
      <c r="I741" s="81" t="s">
        <v>2902</v>
      </c>
      <c r="J741" s="81" t="s">
        <v>2902</v>
      </c>
      <c r="K741" s="83"/>
      <c r="L741" s="83"/>
    </row>
    <row r="742">
      <c r="A742" s="78"/>
      <c r="B742" s="78" t="s">
        <v>2835</v>
      </c>
      <c r="C742" s="79"/>
      <c r="D742" s="79" t="s">
        <v>16</v>
      </c>
      <c r="E742" s="81"/>
      <c r="F742" s="82">
        <f t="shared" si="39"/>
        <v>2</v>
      </c>
      <c r="G742" s="79" t="s">
        <v>851</v>
      </c>
      <c r="H742" s="79"/>
      <c r="I742" s="87" t="s">
        <v>2903</v>
      </c>
      <c r="J742" s="87" t="s">
        <v>2903</v>
      </c>
      <c r="K742" s="83"/>
      <c r="L742" s="83"/>
    </row>
    <row r="743">
      <c r="A743" s="78"/>
      <c r="B743" s="78" t="s">
        <v>2835</v>
      </c>
      <c r="C743" s="79"/>
      <c r="D743" s="79"/>
      <c r="E743" s="81"/>
      <c r="F743" s="82">
        <f t="shared" si="39"/>
        <v>2</v>
      </c>
      <c r="G743" s="79" t="s">
        <v>851</v>
      </c>
      <c r="H743" s="79"/>
      <c r="I743" s="81" t="s">
        <v>2904</v>
      </c>
      <c r="J743" s="81" t="s">
        <v>2904</v>
      </c>
      <c r="K743" s="83"/>
      <c r="L743" s="83"/>
    </row>
    <row r="744">
      <c r="A744" s="78"/>
      <c r="B744" s="78" t="s">
        <v>2835</v>
      </c>
      <c r="C744" s="79" t="s">
        <v>2905</v>
      </c>
      <c r="D744" s="79" t="s">
        <v>16</v>
      </c>
      <c r="E744" s="81" t="s">
        <v>2906</v>
      </c>
      <c r="F744" s="82">
        <f t="shared" si="39"/>
        <v>2</v>
      </c>
      <c r="G744" s="79" t="s">
        <v>2907</v>
      </c>
      <c r="H744" s="79"/>
      <c r="I744" s="81" t="s">
        <v>2908</v>
      </c>
      <c r="J744" s="81" t="s">
        <v>2908</v>
      </c>
      <c r="K744" s="83"/>
      <c r="L744" s="83"/>
    </row>
    <row r="745">
      <c r="A745" s="78"/>
      <c r="B745" s="78" t="s">
        <v>2835</v>
      </c>
      <c r="C745" s="79" t="s">
        <v>2909</v>
      </c>
      <c r="D745" s="79" t="s">
        <v>31</v>
      </c>
      <c r="E745" s="81"/>
      <c r="F745" s="82">
        <f t="shared" si="39"/>
        <v>1</v>
      </c>
      <c r="G745" s="79" t="s">
        <v>2910</v>
      </c>
      <c r="H745" s="79"/>
      <c r="I745" s="81"/>
      <c r="J745" s="81" t="s">
        <v>2911</v>
      </c>
      <c r="K745" s="83"/>
      <c r="L745" s="83"/>
    </row>
    <row r="746">
      <c r="A746" s="78"/>
      <c r="B746" s="78" t="s">
        <v>2835</v>
      </c>
      <c r="C746" s="79" t="s">
        <v>12</v>
      </c>
      <c r="D746" s="79" t="s">
        <v>12</v>
      </c>
      <c r="E746" s="81"/>
      <c r="F746" s="82">
        <f t="shared" si="39"/>
        <v>2</v>
      </c>
      <c r="G746" s="79" t="s">
        <v>12</v>
      </c>
      <c r="H746" s="79"/>
      <c r="I746" s="81" t="s">
        <v>2912</v>
      </c>
      <c r="J746" s="81" t="s">
        <v>2912</v>
      </c>
      <c r="K746" s="83"/>
      <c r="L746" s="83"/>
    </row>
    <row r="747">
      <c r="A747" s="78"/>
      <c r="B747" s="78" t="s">
        <v>2835</v>
      </c>
      <c r="C747" s="79" t="s">
        <v>2913</v>
      </c>
      <c r="D747" s="79" t="s">
        <v>16</v>
      </c>
      <c r="E747" s="81"/>
      <c r="F747" s="82">
        <f t="shared" si="39"/>
        <v>1</v>
      </c>
      <c r="G747" s="79" t="s">
        <v>2914</v>
      </c>
      <c r="H747" s="79"/>
      <c r="I747" s="81" t="s">
        <v>2915</v>
      </c>
      <c r="J747" s="95"/>
      <c r="K747" s="83"/>
      <c r="L747" s="83"/>
    </row>
    <row r="748">
      <c r="A748" s="78"/>
      <c r="B748" s="78" t="s">
        <v>2835</v>
      </c>
      <c r="C748" s="79" t="s">
        <v>15</v>
      </c>
      <c r="D748" s="79" t="s">
        <v>16</v>
      </c>
      <c r="E748" s="81"/>
      <c r="F748" s="82">
        <f t="shared" si="39"/>
        <v>1</v>
      </c>
      <c r="G748" s="79" t="s">
        <v>18</v>
      </c>
      <c r="H748" s="79"/>
      <c r="I748" s="81" t="s">
        <v>2916</v>
      </c>
      <c r="J748" s="95"/>
      <c r="K748" s="83"/>
      <c r="L748" s="83"/>
    </row>
    <row r="749">
      <c r="A749" s="78"/>
      <c r="B749" s="78" t="s">
        <v>2835</v>
      </c>
      <c r="C749" s="83"/>
      <c r="D749" s="79" t="s">
        <v>16</v>
      </c>
      <c r="E749" s="81" t="s">
        <v>2917</v>
      </c>
      <c r="F749" s="82">
        <f t="shared" si="39"/>
        <v>2</v>
      </c>
      <c r="G749" s="79" t="s">
        <v>851</v>
      </c>
      <c r="H749" s="79"/>
      <c r="I749" s="87" t="s">
        <v>2918</v>
      </c>
      <c r="J749" s="81" t="s">
        <v>2919</v>
      </c>
      <c r="K749" s="83"/>
      <c r="L749" s="83"/>
    </row>
    <row r="750">
      <c r="A750" s="78"/>
      <c r="B750" s="78" t="s">
        <v>2835</v>
      </c>
      <c r="C750" s="79" t="s">
        <v>2920</v>
      </c>
      <c r="D750" s="79" t="s">
        <v>2920</v>
      </c>
      <c r="E750" s="81"/>
      <c r="F750" s="82">
        <f t="shared" si="39"/>
        <v>2</v>
      </c>
      <c r="G750" s="79" t="s">
        <v>2921</v>
      </c>
      <c r="H750" s="79"/>
      <c r="I750" s="87" t="s">
        <v>2922</v>
      </c>
      <c r="J750" s="81" t="s">
        <v>2923</v>
      </c>
      <c r="K750" s="83"/>
      <c r="L750" s="83"/>
    </row>
    <row r="751">
      <c r="A751" s="78"/>
      <c r="B751" s="78" t="s">
        <v>2835</v>
      </c>
      <c r="C751" s="79"/>
      <c r="D751" s="79" t="s">
        <v>16</v>
      </c>
      <c r="E751" s="81" t="s">
        <v>2924</v>
      </c>
      <c r="F751" s="82">
        <f t="shared" si="39"/>
        <v>1</v>
      </c>
      <c r="G751" s="79" t="s">
        <v>851</v>
      </c>
      <c r="H751" s="79"/>
      <c r="I751" s="87"/>
      <c r="J751" s="81" t="s">
        <v>2925</v>
      </c>
      <c r="K751" s="83"/>
      <c r="L751" s="83"/>
    </row>
    <row r="752">
      <c r="A752" s="78"/>
      <c r="B752" s="78" t="s">
        <v>2835</v>
      </c>
      <c r="C752" s="79"/>
      <c r="D752" s="79" t="s">
        <v>16</v>
      </c>
      <c r="E752" s="81" t="s">
        <v>2926</v>
      </c>
      <c r="F752" s="82">
        <f t="shared" si="39"/>
        <v>1</v>
      </c>
      <c r="G752" s="79" t="s">
        <v>851</v>
      </c>
      <c r="H752" s="79"/>
      <c r="I752" s="87"/>
      <c r="J752" s="81" t="s">
        <v>2927</v>
      </c>
      <c r="K752" s="83"/>
      <c r="L752" s="83"/>
    </row>
    <row r="753">
      <c r="A753" s="78"/>
      <c r="B753" s="78" t="s">
        <v>2835</v>
      </c>
      <c r="C753" s="79"/>
      <c r="D753" s="79" t="s">
        <v>16</v>
      </c>
      <c r="E753" s="81" t="s">
        <v>2928</v>
      </c>
      <c r="F753" s="82">
        <f t="shared" si="39"/>
        <v>1</v>
      </c>
      <c r="G753" s="79" t="s">
        <v>851</v>
      </c>
      <c r="H753" s="79"/>
      <c r="I753" s="87"/>
      <c r="J753" s="81" t="s">
        <v>2929</v>
      </c>
      <c r="K753" s="83"/>
      <c r="L753" s="83"/>
    </row>
    <row r="754">
      <c r="A754" s="78"/>
      <c r="B754" s="78" t="s">
        <v>2835</v>
      </c>
      <c r="C754" s="79" t="s">
        <v>2930</v>
      </c>
      <c r="D754" s="79" t="s">
        <v>26</v>
      </c>
      <c r="E754" s="81" t="s">
        <v>2931</v>
      </c>
      <c r="F754" s="82">
        <f t="shared" si="39"/>
        <v>2</v>
      </c>
      <c r="G754" s="79" t="s">
        <v>2932</v>
      </c>
      <c r="H754" s="79"/>
      <c r="I754" s="87" t="s">
        <v>2933</v>
      </c>
      <c r="J754" s="81" t="s">
        <v>2934</v>
      </c>
      <c r="K754" s="83"/>
      <c r="L754" s="83"/>
    </row>
    <row r="755">
      <c r="A755" s="78"/>
      <c r="B755" s="78" t="s">
        <v>2835</v>
      </c>
      <c r="C755" s="79" t="s">
        <v>2856</v>
      </c>
      <c r="D755" s="79" t="s">
        <v>26</v>
      </c>
      <c r="E755" s="81" t="s">
        <v>2857</v>
      </c>
      <c r="F755" s="82">
        <f t="shared" si="39"/>
        <v>2</v>
      </c>
      <c r="G755" s="79" t="s">
        <v>2858</v>
      </c>
      <c r="H755" s="79"/>
      <c r="I755" s="81" t="s">
        <v>2935</v>
      </c>
      <c r="J755" s="81" t="s">
        <v>2936</v>
      </c>
      <c r="K755" s="83"/>
      <c r="L755" s="83"/>
    </row>
    <row r="756">
      <c r="A756" s="78"/>
      <c r="B756" s="78" t="s">
        <v>2835</v>
      </c>
      <c r="C756" s="79" t="s">
        <v>2937</v>
      </c>
      <c r="D756" s="79" t="s">
        <v>483</v>
      </c>
      <c r="E756" s="81" t="s">
        <v>2938</v>
      </c>
      <c r="F756" s="82">
        <f t="shared" si="39"/>
        <v>2</v>
      </c>
      <c r="G756" s="79" t="s">
        <v>2939</v>
      </c>
      <c r="H756" s="79"/>
      <c r="I756" s="87" t="s">
        <v>2940</v>
      </c>
      <c r="J756" s="81" t="s">
        <v>2941</v>
      </c>
      <c r="K756" s="83"/>
      <c r="L756" s="83"/>
    </row>
    <row r="757">
      <c r="A757" s="78"/>
      <c r="B757" s="78" t="s">
        <v>2835</v>
      </c>
      <c r="C757" s="79" t="s">
        <v>2942</v>
      </c>
      <c r="D757" s="79" t="s">
        <v>31</v>
      </c>
      <c r="E757" s="81"/>
      <c r="F757" s="82">
        <f t="shared" si="39"/>
        <v>1</v>
      </c>
      <c r="G757" s="79" t="s">
        <v>2943</v>
      </c>
      <c r="H757" s="79"/>
      <c r="I757" s="87" t="s">
        <v>2944</v>
      </c>
      <c r="J757" s="81"/>
      <c r="K757" s="83"/>
      <c r="L757" s="83"/>
    </row>
    <row r="758">
      <c r="A758" s="78"/>
      <c r="B758" s="78" t="s">
        <v>2835</v>
      </c>
      <c r="C758" s="79" t="s">
        <v>2945</v>
      </c>
      <c r="D758" s="79" t="s">
        <v>40</v>
      </c>
      <c r="E758" s="81" t="s">
        <v>2946</v>
      </c>
      <c r="F758" s="82">
        <f t="shared" si="39"/>
        <v>2</v>
      </c>
      <c r="G758" s="79" t="s">
        <v>2947</v>
      </c>
      <c r="H758" s="79"/>
      <c r="I758" s="81" t="s">
        <v>2948</v>
      </c>
      <c r="J758" s="81" t="s">
        <v>2949</v>
      </c>
      <c r="K758" s="83"/>
      <c r="L758" s="83"/>
    </row>
    <row r="759">
      <c r="A759" s="78"/>
      <c r="B759" s="78" t="s">
        <v>2835</v>
      </c>
      <c r="C759" s="79" t="s">
        <v>2950</v>
      </c>
      <c r="D759" s="79" t="s">
        <v>40</v>
      </c>
      <c r="E759" s="81"/>
      <c r="F759" s="82">
        <f t="shared" si="39"/>
        <v>2</v>
      </c>
      <c r="G759" s="79" t="s">
        <v>2951</v>
      </c>
      <c r="H759" s="79"/>
      <c r="I759" s="81" t="s">
        <v>2952</v>
      </c>
      <c r="J759" s="81" t="s">
        <v>2953</v>
      </c>
      <c r="K759" s="83"/>
      <c r="L759" s="83"/>
    </row>
    <row r="760">
      <c r="A760" s="78"/>
      <c r="B760" s="78" t="s">
        <v>2835</v>
      </c>
      <c r="C760" s="79" t="s">
        <v>2954</v>
      </c>
      <c r="D760" s="79" t="s">
        <v>40</v>
      </c>
      <c r="E760" s="81" t="s">
        <v>2955</v>
      </c>
      <c r="F760" s="82">
        <f t="shared" si="39"/>
        <v>2</v>
      </c>
      <c r="G760" s="79" t="s">
        <v>2956</v>
      </c>
      <c r="H760" s="79"/>
      <c r="I760" s="81" t="s">
        <v>2957</v>
      </c>
      <c r="J760" s="81" t="s">
        <v>2958</v>
      </c>
      <c r="K760" s="83"/>
      <c r="L760" s="83"/>
    </row>
    <row r="761">
      <c r="A761" s="78"/>
      <c r="B761" s="78" t="s">
        <v>2835</v>
      </c>
      <c r="C761" s="79" t="s">
        <v>2959</v>
      </c>
      <c r="D761" s="79" t="s">
        <v>40</v>
      </c>
      <c r="E761" s="81"/>
      <c r="F761" s="82">
        <f t="shared" si="39"/>
        <v>1</v>
      </c>
      <c r="G761" s="79" t="s">
        <v>2960</v>
      </c>
      <c r="H761" s="79"/>
      <c r="I761" s="81" t="s">
        <v>2961</v>
      </c>
      <c r="J761" s="95"/>
      <c r="K761" s="83"/>
      <c r="L761" s="83"/>
    </row>
    <row r="762">
      <c r="A762" s="78"/>
      <c r="B762" s="78" t="s">
        <v>2835</v>
      </c>
      <c r="C762" s="79" t="s">
        <v>2962</v>
      </c>
      <c r="D762" s="79" t="s">
        <v>40</v>
      </c>
      <c r="E762" s="81" t="s">
        <v>2963</v>
      </c>
      <c r="F762" s="82">
        <f t="shared" si="39"/>
        <v>2</v>
      </c>
      <c r="G762" s="79" t="s">
        <v>2964</v>
      </c>
      <c r="H762" s="79"/>
      <c r="I762" s="81" t="s">
        <v>2965</v>
      </c>
      <c r="J762" s="81" t="s">
        <v>2966</v>
      </c>
      <c r="K762" s="83"/>
      <c r="L762" s="83"/>
    </row>
    <row r="763">
      <c r="A763" s="78"/>
      <c r="B763" s="78" t="s">
        <v>2835</v>
      </c>
      <c r="C763" s="79" t="s">
        <v>2967</v>
      </c>
      <c r="D763" s="79" t="s">
        <v>40</v>
      </c>
      <c r="E763" s="81"/>
      <c r="F763" s="82">
        <f t="shared" si="39"/>
        <v>1</v>
      </c>
      <c r="G763" s="79" t="s">
        <v>2968</v>
      </c>
      <c r="H763" s="79"/>
      <c r="I763" s="81" t="s">
        <v>2969</v>
      </c>
      <c r="J763" s="95"/>
      <c r="K763" s="83"/>
      <c r="L763" s="83"/>
    </row>
    <row r="764">
      <c r="A764" s="78"/>
      <c r="B764" s="78" t="s">
        <v>2835</v>
      </c>
      <c r="C764" s="79" t="s">
        <v>2970</v>
      </c>
      <c r="D764" s="79" t="s">
        <v>40</v>
      </c>
      <c r="E764" s="81" t="s">
        <v>2971</v>
      </c>
      <c r="F764" s="82">
        <f t="shared" si="39"/>
        <v>2</v>
      </c>
      <c r="G764" s="79" t="s">
        <v>2972</v>
      </c>
      <c r="H764" s="79"/>
      <c r="I764" s="81" t="s">
        <v>2973</v>
      </c>
      <c r="J764" s="81" t="s">
        <v>2974</v>
      </c>
      <c r="K764" s="83"/>
      <c r="L764" s="83"/>
    </row>
    <row r="765">
      <c r="A765" s="78"/>
      <c r="B765" s="78" t="s">
        <v>2835</v>
      </c>
      <c r="C765" s="79" t="s">
        <v>2975</v>
      </c>
      <c r="D765" s="79" t="s">
        <v>40</v>
      </c>
      <c r="E765" s="81"/>
      <c r="F765" s="82">
        <f t="shared" si="39"/>
        <v>1</v>
      </c>
      <c r="G765" s="79" t="s">
        <v>2976</v>
      </c>
      <c r="H765" s="79"/>
      <c r="I765" s="81" t="s">
        <v>2977</v>
      </c>
      <c r="J765" s="95"/>
      <c r="K765" s="83"/>
      <c r="L765" s="83"/>
    </row>
    <row r="766">
      <c r="A766" s="78"/>
      <c r="B766" s="78" t="s">
        <v>2835</v>
      </c>
      <c r="C766" s="79" t="s">
        <v>2978</v>
      </c>
      <c r="D766" s="79" t="s">
        <v>40</v>
      </c>
      <c r="E766" s="81" t="s">
        <v>2979</v>
      </c>
      <c r="F766" s="82">
        <f t="shared" si="39"/>
        <v>1</v>
      </c>
      <c r="G766" s="79" t="s">
        <v>2980</v>
      </c>
      <c r="H766" s="79"/>
      <c r="I766" s="81"/>
      <c r="J766" s="81" t="s">
        <v>2981</v>
      </c>
      <c r="K766" s="83"/>
      <c r="L766" s="83"/>
    </row>
    <row r="767">
      <c r="A767" s="78"/>
      <c r="B767" s="78" t="s">
        <v>2835</v>
      </c>
      <c r="C767" s="79" t="s">
        <v>2982</v>
      </c>
      <c r="D767" s="79" t="s">
        <v>40</v>
      </c>
      <c r="E767" s="81" t="s">
        <v>2983</v>
      </c>
      <c r="F767" s="82">
        <f t="shared" si="39"/>
        <v>2</v>
      </c>
      <c r="G767" s="79" t="s">
        <v>2984</v>
      </c>
      <c r="H767" s="79"/>
      <c r="I767" s="81" t="s">
        <v>2985</v>
      </c>
      <c r="J767" s="81" t="s">
        <v>2986</v>
      </c>
      <c r="K767" s="83"/>
      <c r="L767" s="83"/>
    </row>
    <row r="768">
      <c r="A768" s="78"/>
      <c r="B768" s="78" t="s">
        <v>2835</v>
      </c>
      <c r="C768" s="79" t="s">
        <v>2987</v>
      </c>
      <c r="D768" s="79" t="s">
        <v>40</v>
      </c>
      <c r="E768" s="81"/>
      <c r="F768" s="82">
        <f t="shared" si="39"/>
        <v>1</v>
      </c>
      <c r="G768" s="79" t="s">
        <v>2988</v>
      </c>
      <c r="H768" s="79"/>
      <c r="I768" s="81" t="s">
        <v>2989</v>
      </c>
      <c r="J768" s="95"/>
      <c r="K768" s="83"/>
      <c r="L768" s="83"/>
    </row>
    <row r="769">
      <c r="A769" s="78"/>
      <c r="B769" s="78" t="s">
        <v>2835</v>
      </c>
      <c r="C769" s="79" t="s">
        <v>2990</v>
      </c>
      <c r="D769" s="79" t="s">
        <v>40</v>
      </c>
      <c r="E769" s="81" t="s">
        <v>2991</v>
      </c>
      <c r="F769" s="82">
        <f t="shared" si="39"/>
        <v>2</v>
      </c>
      <c r="G769" s="79" t="s">
        <v>2992</v>
      </c>
      <c r="H769" s="79"/>
      <c r="I769" s="81" t="s">
        <v>2993</v>
      </c>
      <c r="J769" s="81" t="s">
        <v>2994</v>
      </c>
      <c r="K769" s="83"/>
      <c r="L769" s="83"/>
    </row>
    <row r="770">
      <c r="A770" s="78"/>
      <c r="B770" s="78" t="s">
        <v>2835</v>
      </c>
      <c r="C770" s="79" t="s">
        <v>2995</v>
      </c>
      <c r="D770" s="79" t="s">
        <v>40</v>
      </c>
      <c r="E770" s="81"/>
      <c r="F770" s="82">
        <f t="shared" si="39"/>
        <v>1</v>
      </c>
      <c r="G770" s="79" t="s">
        <v>2996</v>
      </c>
      <c r="H770" s="79"/>
      <c r="I770" s="81" t="s">
        <v>2997</v>
      </c>
      <c r="J770" s="95"/>
      <c r="K770" s="83"/>
      <c r="L770" s="83"/>
    </row>
    <row r="771">
      <c r="A771" s="78"/>
      <c r="B771" s="78" t="s">
        <v>2835</v>
      </c>
      <c r="C771" s="79" t="s">
        <v>2998</v>
      </c>
      <c r="D771" s="79" t="s">
        <v>40</v>
      </c>
      <c r="E771" s="81" t="s">
        <v>2999</v>
      </c>
      <c r="F771" s="82">
        <f t="shared" si="39"/>
        <v>2</v>
      </c>
      <c r="G771" s="79" t="s">
        <v>3000</v>
      </c>
      <c r="H771" s="79"/>
      <c r="I771" s="81" t="s">
        <v>3001</v>
      </c>
      <c r="J771" s="81" t="s">
        <v>3002</v>
      </c>
      <c r="K771" s="83"/>
      <c r="L771" s="83"/>
    </row>
    <row r="772">
      <c r="A772" s="78"/>
      <c r="B772" s="78" t="s">
        <v>2835</v>
      </c>
      <c r="C772" s="79" t="s">
        <v>3003</v>
      </c>
      <c r="D772" s="79" t="s">
        <v>40</v>
      </c>
      <c r="E772" s="81"/>
      <c r="F772" s="82">
        <f t="shared" si="39"/>
        <v>1</v>
      </c>
      <c r="G772" s="79" t="s">
        <v>3004</v>
      </c>
      <c r="H772" s="79"/>
      <c r="I772" s="81" t="s">
        <v>3005</v>
      </c>
      <c r="J772" s="95"/>
      <c r="K772" s="83"/>
      <c r="L772" s="83"/>
    </row>
    <row r="773">
      <c r="A773" s="78"/>
      <c r="B773" s="78" t="s">
        <v>2835</v>
      </c>
      <c r="C773" s="79" t="s">
        <v>3006</v>
      </c>
      <c r="D773" s="79" t="s">
        <v>40</v>
      </c>
      <c r="E773" s="81" t="s">
        <v>3007</v>
      </c>
      <c r="F773" s="82">
        <f t="shared" si="39"/>
        <v>1</v>
      </c>
      <c r="G773" s="79" t="s">
        <v>3008</v>
      </c>
      <c r="H773" s="79"/>
      <c r="I773" s="81"/>
      <c r="J773" s="81" t="s">
        <v>3009</v>
      </c>
      <c r="K773" s="83"/>
      <c r="L773" s="83"/>
    </row>
    <row r="774">
      <c r="A774" s="78"/>
      <c r="B774" s="78" t="s">
        <v>2835</v>
      </c>
      <c r="C774" s="79" t="s">
        <v>3010</v>
      </c>
      <c r="D774" s="79" t="s">
        <v>40</v>
      </c>
      <c r="E774" s="81" t="s">
        <v>3011</v>
      </c>
      <c r="F774" s="82">
        <f t="shared" si="39"/>
        <v>2</v>
      </c>
      <c r="G774" s="79" t="s">
        <v>3012</v>
      </c>
      <c r="H774" s="79"/>
      <c r="I774" s="81" t="s">
        <v>3013</v>
      </c>
      <c r="J774" s="81" t="s">
        <v>3014</v>
      </c>
      <c r="K774" s="83"/>
      <c r="L774" s="83"/>
    </row>
    <row r="775">
      <c r="A775" s="78"/>
      <c r="B775" s="78" t="s">
        <v>2835</v>
      </c>
      <c r="C775" s="79" t="s">
        <v>3015</v>
      </c>
      <c r="D775" s="79" t="s">
        <v>40</v>
      </c>
      <c r="E775" s="81"/>
      <c r="F775" s="82">
        <f t="shared" si="39"/>
        <v>1</v>
      </c>
      <c r="G775" s="79" t="s">
        <v>3016</v>
      </c>
      <c r="H775" s="79"/>
      <c r="I775" s="81" t="s">
        <v>3017</v>
      </c>
      <c r="J775" s="95"/>
      <c r="K775" s="83"/>
      <c r="L775" s="83"/>
    </row>
    <row r="776">
      <c r="A776" s="78"/>
      <c r="B776" s="78" t="s">
        <v>2835</v>
      </c>
      <c r="C776" s="79" t="s">
        <v>3018</v>
      </c>
      <c r="D776" s="79" t="s">
        <v>40</v>
      </c>
      <c r="E776" s="81" t="s">
        <v>3019</v>
      </c>
      <c r="F776" s="82">
        <f t="shared" si="39"/>
        <v>2</v>
      </c>
      <c r="G776" s="79" t="s">
        <v>3020</v>
      </c>
      <c r="H776" s="79"/>
      <c r="I776" s="81" t="s">
        <v>3021</v>
      </c>
      <c r="J776" s="81" t="s">
        <v>3022</v>
      </c>
      <c r="K776" s="83"/>
      <c r="L776" s="83"/>
    </row>
    <row r="777">
      <c r="A777" s="78"/>
      <c r="B777" s="78" t="s">
        <v>2835</v>
      </c>
      <c r="C777" s="79" t="s">
        <v>3023</v>
      </c>
      <c r="D777" s="79" t="s">
        <v>40</v>
      </c>
      <c r="E777" s="81"/>
      <c r="F777" s="82">
        <f t="shared" si="39"/>
        <v>1</v>
      </c>
      <c r="G777" s="79" t="s">
        <v>3024</v>
      </c>
      <c r="H777" s="79"/>
      <c r="I777" s="81" t="s">
        <v>3025</v>
      </c>
      <c r="J777" s="95"/>
      <c r="K777" s="83"/>
      <c r="L777" s="83"/>
    </row>
    <row r="778">
      <c r="A778" s="78"/>
      <c r="B778" s="78" t="s">
        <v>2835</v>
      </c>
      <c r="C778" s="79" t="s">
        <v>3026</v>
      </c>
      <c r="D778" s="79" t="s">
        <v>40</v>
      </c>
      <c r="E778" s="81" t="s">
        <v>3027</v>
      </c>
      <c r="F778" s="82">
        <f t="shared" si="39"/>
        <v>2</v>
      </c>
      <c r="G778" s="79" t="s">
        <v>3028</v>
      </c>
      <c r="H778" s="79"/>
      <c r="I778" s="81" t="s">
        <v>3029</v>
      </c>
      <c r="J778" s="81" t="s">
        <v>3030</v>
      </c>
      <c r="K778" s="83"/>
      <c r="L778" s="83"/>
    </row>
    <row r="779">
      <c r="A779" s="78"/>
      <c r="B779" s="78" t="s">
        <v>2835</v>
      </c>
      <c r="C779" s="79" t="s">
        <v>3031</v>
      </c>
      <c r="D779" s="79" t="s">
        <v>40</v>
      </c>
      <c r="E779" s="81"/>
      <c r="F779" s="82">
        <f t="shared" si="39"/>
        <v>1</v>
      </c>
      <c r="G779" s="79" t="s">
        <v>3032</v>
      </c>
      <c r="H779" s="79"/>
      <c r="I779" s="81" t="s">
        <v>3033</v>
      </c>
      <c r="J779" s="95"/>
      <c r="K779" s="83"/>
      <c r="L779" s="83"/>
    </row>
    <row r="780">
      <c r="A780" s="78"/>
      <c r="B780" s="78" t="s">
        <v>2835</v>
      </c>
      <c r="C780" s="79" t="s">
        <v>3034</v>
      </c>
      <c r="D780" s="79" t="s">
        <v>40</v>
      </c>
      <c r="E780" s="81" t="s">
        <v>3035</v>
      </c>
      <c r="F780" s="82">
        <f t="shared" si="39"/>
        <v>1</v>
      </c>
      <c r="G780" s="79" t="s">
        <v>3036</v>
      </c>
      <c r="H780" s="79"/>
      <c r="I780" s="81"/>
      <c r="J780" s="81" t="s">
        <v>3037</v>
      </c>
      <c r="K780" s="83"/>
      <c r="L780" s="83"/>
    </row>
    <row r="781">
      <c r="A781" s="78"/>
      <c r="B781" s="78" t="s">
        <v>2835</v>
      </c>
      <c r="C781" s="79" t="s">
        <v>3038</v>
      </c>
      <c r="D781" s="79" t="s">
        <v>40</v>
      </c>
      <c r="E781" s="81" t="s">
        <v>3039</v>
      </c>
      <c r="F781" s="82">
        <f t="shared" si="39"/>
        <v>2</v>
      </c>
      <c r="G781" s="79" t="s">
        <v>3040</v>
      </c>
      <c r="H781" s="79"/>
      <c r="I781" s="81" t="s">
        <v>3041</v>
      </c>
      <c r="J781" s="81" t="s">
        <v>3042</v>
      </c>
      <c r="K781" s="83"/>
      <c r="L781" s="83"/>
    </row>
    <row r="782">
      <c r="A782" s="78"/>
      <c r="B782" s="78" t="s">
        <v>2835</v>
      </c>
      <c r="C782" s="79" t="s">
        <v>3043</v>
      </c>
      <c r="D782" s="79" t="s">
        <v>40</v>
      </c>
      <c r="E782" s="81"/>
      <c r="F782" s="82">
        <f t="shared" si="39"/>
        <v>1</v>
      </c>
      <c r="G782" s="79" t="s">
        <v>3044</v>
      </c>
      <c r="H782" s="79"/>
      <c r="I782" s="81" t="s">
        <v>3045</v>
      </c>
      <c r="J782" s="95"/>
      <c r="K782" s="83"/>
      <c r="L782" s="83"/>
    </row>
    <row r="783">
      <c r="A783" s="78"/>
      <c r="B783" s="78" t="s">
        <v>2835</v>
      </c>
      <c r="C783" s="79" t="s">
        <v>3046</v>
      </c>
      <c r="D783" s="79" t="s">
        <v>40</v>
      </c>
      <c r="E783" s="81" t="s">
        <v>3047</v>
      </c>
      <c r="F783" s="82">
        <f t="shared" si="39"/>
        <v>2</v>
      </c>
      <c r="G783" s="79" t="s">
        <v>3048</v>
      </c>
      <c r="H783" s="79"/>
      <c r="I783" s="81" t="s">
        <v>3049</v>
      </c>
      <c r="J783" s="81" t="s">
        <v>3050</v>
      </c>
      <c r="K783" s="83"/>
      <c r="L783" s="83"/>
    </row>
    <row r="784">
      <c r="A784" s="78"/>
      <c r="B784" s="78" t="s">
        <v>2835</v>
      </c>
      <c r="C784" s="79" t="s">
        <v>3051</v>
      </c>
      <c r="D784" s="79" t="s">
        <v>40</v>
      </c>
      <c r="E784" s="81"/>
      <c r="F784" s="82">
        <f t="shared" si="39"/>
        <v>1</v>
      </c>
      <c r="G784" s="79" t="s">
        <v>3052</v>
      </c>
      <c r="H784" s="79"/>
      <c r="I784" s="81" t="s">
        <v>3053</v>
      </c>
      <c r="J784" s="95"/>
      <c r="K784" s="83"/>
      <c r="L784" s="83"/>
    </row>
    <row r="785">
      <c r="A785" s="78"/>
      <c r="B785" s="78" t="s">
        <v>2835</v>
      </c>
      <c r="C785" s="79" t="s">
        <v>3054</v>
      </c>
      <c r="D785" s="79" t="s">
        <v>40</v>
      </c>
      <c r="E785" s="81" t="s">
        <v>3055</v>
      </c>
      <c r="F785" s="82">
        <f t="shared" si="39"/>
        <v>2</v>
      </c>
      <c r="G785" s="79" t="s">
        <v>3056</v>
      </c>
      <c r="H785" s="79"/>
      <c r="I785" s="81" t="s">
        <v>3057</v>
      </c>
      <c r="J785" s="81" t="s">
        <v>3058</v>
      </c>
      <c r="K785" s="83"/>
      <c r="L785" s="83"/>
    </row>
    <row r="786">
      <c r="A786" s="78"/>
      <c r="B786" s="78" t="s">
        <v>2835</v>
      </c>
      <c r="C786" s="79" t="s">
        <v>3059</v>
      </c>
      <c r="D786" s="79" t="s">
        <v>40</v>
      </c>
      <c r="E786" s="81"/>
      <c r="F786" s="82">
        <f t="shared" si="39"/>
        <v>1</v>
      </c>
      <c r="G786" s="79" t="s">
        <v>3060</v>
      </c>
      <c r="H786" s="79"/>
      <c r="I786" s="81" t="s">
        <v>3061</v>
      </c>
      <c r="J786" s="95"/>
      <c r="K786" s="83"/>
      <c r="L786" s="83"/>
    </row>
    <row r="787">
      <c r="A787" s="78"/>
      <c r="B787" s="78" t="s">
        <v>2835</v>
      </c>
      <c r="C787" s="79" t="s">
        <v>3062</v>
      </c>
      <c r="D787" s="79" t="s">
        <v>40</v>
      </c>
      <c r="E787" s="81" t="s">
        <v>3063</v>
      </c>
      <c r="F787" s="82">
        <f t="shared" si="39"/>
        <v>1</v>
      </c>
      <c r="G787" s="79" t="s">
        <v>3064</v>
      </c>
      <c r="H787" s="79"/>
      <c r="I787" s="81"/>
      <c r="J787" s="81" t="s">
        <v>3065</v>
      </c>
      <c r="K787" s="83"/>
      <c r="L787" s="83"/>
    </row>
    <row r="788">
      <c r="A788" s="78"/>
      <c r="B788" s="78" t="s">
        <v>2835</v>
      </c>
      <c r="C788" s="79" t="s">
        <v>3066</v>
      </c>
      <c r="D788" s="79" t="s">
        <v>40</v>
      </c>
      <c r="E788" s="81" t="s">
        <v>3067</v>
      </c>
      <c r="F788" s="82">
        <f t="shared" si="39"/>
        <v>2</v>
      </c>
      <c r="G788" s="79" t="s">
        <v>3068</v>
      </c>
      <c r="H788" s="79"/>
      <c r="I788" s="81" t="s">
        <v>3069</v>
      </c>
      <c r="J788" s="81" t="s">
        <v>3070</v>
      </c>
      <c r="K788" s="83"/>
      <c r="L788" s="83"/>
    </row>
    <row r="789">
      <c r="A789" s="78"/>
      <c r="B789" s="78" t="s">
        <v>2835</v>
      </c>
      <c r="C789" s="79" t="s">
        <v>3071</v>
      </c>
      <c r="D789" s="79" t="s">
        <v>40</v>
      </c>
      <c r="E789" s="81"/>
      <c r="F789" s="82">
        <f t="shared" si="39"/>
        <v>1</v>
      </c>
      <c r="G789" s="79" t="s">
        <v>3072</v>
      </c>
      <c r="H789" s="79"/>
      <c r="I789" s="81" t="s">
        <v>3073</v>
      </c>
      <c r="J789" s="95"/>
      <c r="K789" s="83"/>
      <c r="L789" s="83"/>
    </row>
    <row r="790">
      <c r="A790" s="78"/>
      <c r="B790" s="78" t="s">
        <v>2835</v>
      </c>
      <c r="C790" s="79" t="s">
        <v>3074</v>
      </c>
      <c r="D790" s="79" t="s">
        <v>40</v>
      </c>
      <c r="E790" s="81" t="s">
        <v>3075</v>
      </c>
      <c r="F790" s="82">
        <f t="shared" si="39"/>
        <v>2</v>
      </c>
      <c r="G790" s="79" t="s">
        <v>3076</v>
      </c>
      <c r="H790" s="79"/>
      <c r="I790" s="81" t="s">
        <v>3077</v>
      </c>
      <c r="J790" s="81" t="s">
        <v>3078</v>
      </c>
      <c r="K790" s="83"/>
      <c r="L790" s="83"/>
    </row>
    <row r="791">
      <c r="A791" s="78"/>
      <c r="B791" s="78" t="s">
        <v>2835</v>
      </c>
      <c r="C791" s="79" t="s">
        <v>3079</v>
      </c>
      <c r="D791" s="79" t="s">
        <v>40</v>
      </c>
      <c r="E791" s="81"/>
      <c r="F791" s="82">
        <f t="shared" si="39"/>
        <v>1</v>
      </c>
      <c r="G791" s="79" t="s">
        <v>3080</v>
      </c>
      <c r="H791" s="79"/>
      <c r="I791" s="81" t="s">
        <v>3081</v>
      </c>
      <c r="J791" s="95"/>
      <c r="K791" s="83"/>
      <c r="L791" s="83"/>
    </row>
    <row r="792">
      <c r="A792" s="78"/>
      <c r="B792" s="78" t="s">
        <v>2835</v>
      </c>
      <c r="C792" s="79" t="s">
        <v>3082</v>
      </c>
      <c r="D792" s="79" t="s">
        <v>40</v>
      </c>
      <c r="E792" s="81" t="s">
        <v>3083</v>
      </c>
      <c r="F792" s="82">
        <f t="shared" si="39"/>
        <v>2</v>
      </c>
      <c r="G792" s="79" t="s">
        <v>3084</v>
      </c>
      <c r="H792" s="79"/>
      <c r="I792" s="81" t="s">
        <v>3085</v>
      </c>
      <c r="J792" s="81" t="s">
        <v>3086</v>
      </c>
      <c r="K792" s="83"/>
      <c r="L792" s="83"/>
    </row>
    <row r="793">
      <c r="A793" s="78"/>
      <c r="B793" s="78" t="s">
        <v>2835</v>
      </c>
      <c r="C793" s="79" t="s">
        <v>3087</v>
      </c>
      <c r="D793" s="79" t="s">
        <v>40</v>
      </c>
      <c r="E793" s="81"/>
      <c r="F793" s="82">
        <f t="shared" si="39"/>
        <v>1</v>
      </c>
      <c r="G793" s="79" t="s">
        <v>3088</v>
      </c>
      <c r="H793" s="79"/>
      <c r="I793" s="81" t="s">
        <v>3089</v>
      </c>
      <c r="J793" s="95"/>
      <c r="K793" s="83"/>
      <c r="L793" s="83"/>
    </row>
    <row r="794">
      <c r="A794" s="78"/>
      <c r="B794" s="78" t="s">
        <v>2835</v>
      </c>
      <c r="C794" s="79" t="s">
        <v>3090</v>
      </c>
      <c r="D794" s="79" t="s">
        <v>40</v>
      </c>
      <c r="E794" s="81" t="s">
        <v>3091</v>
      </c>
      <c r="F794" s="82">
        <f t="shared" si="39"/>
        <v>1</v>
      </c>
      <c r="G794" s="79" t="s">
        <v>3092</v>
      </c>
      <c r="H794" s="79"/>
      <c r="I794" s="81"/>
      <c r="J794" s="81" t="s">
        <v>3093</v>
      </c>
      <c r="K794" s="83"/>
      <c r="L794" s="83"/>
    </row>
    <row r="795">
      <c r="A795" s="78"/>
      <c r="B795" s="78" t="s">
        <v>2835</v>
      </c>
      <c r="C795" s="79" t="s">
        <v>3094</v>
      </c>
      <c r="D795" s="79" t="s">
        <v>40</v>
      </c>
      <c r="E795" s="81" t="s">
        <v>3095</v>
      </c>
      <c r="F795" s="82">
        <f t="shared" si="39"/>
        <v>2</v>
      </c>
      <c r="G795" s="79" t="s">
        <v>3096</v>
      </c>
      <c r="H795" s="79"/>
      <c r="I795" s="81" t="s">
        <v>3097</v>
      </c>
      <c r="J795" s="81" t="s">
        <v>3098</v>
      </c>
      <c r="K795" s="83"/>
      <c r="L795" s="83"/>
    </row>
    <row r="796">
      <c r="A796" s="78"/>
      <c r="B796" s="78" t="s">
        <v>2835</v>
      </c>
      <c r="C796" s="79" t="s">
        <v>3099</v>
      </c>
      <c r="D796" s="79" t="s">
        <v>40</v>
      </c>
      <c r="E796" s="81"/>
      <c r="F796" s="82">
        <f t="shared" si="39"/>
        <v>2</v>
      </c>
      <c r="G796" s="79" t="s">
        <v>3100</v>
      </c>
      <c r="H796" s="79"/>
      <c r="I796" s="81" t="s">
        <v>3101</v>
      </c>
      <c r="J796" s="81" t="s">
        <v>3102</v>
      </c>
      <c r="K796" s="83"/>
      <c r="L796" s="83"/>
    </row>
    <row r="797">
      <c r="A797" s="78"/>
      <c r="B797" s="78" t="s">
        <v>2835</v>
      </c>
      <c r="C797" s="79" t="s">
        <v>3103</v>
      </c>
      <c r="D797" s="79" t="s">
        <v>40</v>
      </c>
      <c r="E797" s="81" t="s">
        <v>3104</v>
      </c>
      <c r="F797" s="82">
        <f t="shared" si="39"/>
        <v>2</v>
      </c>
      <c r="G797" s="79" t="s">
        <v>3105</v>
      </c>
      <c r="H797" s="79"/>
      <c r="I797" s="81" t="s">
        <v>3106</v>
      </c>
      <c r="J797" s="81" t="s">
        <v>3107</v>
      </c>
      <c r="K797" s="83"/>
      <c r="L797" s="83"/>
    </row>
    <row r="798">
      <c r="A798" s="78"/>
      <c r="B798" s="78" t="s">
        <v>2835</v>
      </c>
      <c r="C798" s="79" t="s">
        <v>3108</v>
      </c>
      <c r="D798" s="79" t="s">
        <v>40</v>
      </c>
      <c r="E798" s="81"/>
      <c r="F798" s="82">
        <f t="shared" si="39"/>
        <v>2</v>
      </c>
      <c r="G798" s="79" t="s">
        <v>3109</v>
      </c>
      <c r="H798" s="79"/>
      <c r="I798" s="81" t="s">
        <v>3110</v>
      </c>
      <c r="J798" s="81" t="s">
        <v>3111</v>
      </c>
      <c r="K798" s="83"/>
      <c r="L798" s="83"/>
    </row>
    <row r="799">
      <c r="A799" s="78"/>
      <c r="B799" s="78" t="s">
        <v>2835</v>
      </c>
      <c r="C799" s="79" t="s">
        <v>3112</v>
      </c>
      <c r="D799" s="79" t="s">
        <v>40</v>
      </c>
      <c r="E799" s="87" t="s">
        <v>3113</v>
      </c>
      <c r="F799" s="82">
        <f t="shared" si="39"/>
        <v>1</v>
      </c>
      <c r="G799" s="79" t="s">
        <v>3114</v>
      </c>
      <c r="H799" s="79"/>
      <c r="I799" s="87"/>
      <c r="J799" s="81" t="s">
        <v>3115</v>
      </c>
      <c r="K799" s="83"/>
      <c r="L799" s="83"/>
    </row>
    <row r="800">
      <c r="A800" s="78"/>
      <c r="B800" s="78" t="s">
        <v>2835</v>
      </c>
      <c r="C800" s="79" t="s">
        <v>3116</v>
      </c>
      <c r="D800" s="79" t="s">
        <v>40</v>
      </c>
      <c r="E800" s="87"/>
      <c r="F800" s="82">
        <f t="shared" si="39"/>
        <v>1</v>
      </c>
      <c r="G800" s="79" t="s">
        <v>3117</v>
      </c>
      <c r="H800" s="79"/>
      <c r="I800" s="87"/>
      <c r="J800" s="81" t="s">
        <v>3118</v>
      </c>
      <c r="K800" s="83"/>
      <c r="L800" s="83"/>
    </row>
    <row r="801">
      <c r="A801" s="78"/>
      <c r="B801" s="78" t="s">
        <v>2835</v>
      </c>
      <c r="C801" s="79" t="s">
        <v>3119</v>
      </c>
      <c r="D801" s="79" t="s">
        <v>40</v>
      </c>
      <c r="E801" s="87" t="s">
        <v>2567</v>
      </c>
      <c r="F801" s="82">
        <f t="shared" si="39"/>
        <v>2</v>
      </c>
      <c r="G801" s="79" t="s">
        <v>3120</v>
      </c>
      <c r="H801" s="79"/>
      <c r="I801" s="87" t="s">
        <v>3121</v>
      </c>
      <c r="J801" s="81" t="s">
        <v>3122</v>
      </c>
      <c r="K801" s="83"/>
      <c r="L801" s="83"/>
    </row>
    <row r="802">
      <c r="A802" s="78"/>
      <c r="B802" s="78" t="s">
        <v>2835</v>
      </c>
      <c r="C802" s="79" t="s">
        <v>3123</v>
      </c>
      <c r="D802" s="79" t="s">
        <v>40</v>
      </c>
      <c r="E802" s="83"/>
      <c r="F802" s="82">
        <f t="shared" si="39"/>
        <v>2</v>
      </c>
      <c r="G802" s="79" t="s">
        <v>3124</v>
      </c>
      <c r="H802" s="79"/>
      <c r="I802" s="87" t="s">
        <v>3125</v>
      </c>
      <c r="J802" s="81" t="s">
        <v>3126</v>
      </c>
      <c r="K802" s="83"/>
      <c r="L802" s="83"/>
    </row>
    <row r="803">
      <c r="A803" s="78"/>
      <c r="B803" s="78" t="s">
        <v>2835</v>
      </c>
      <c r="C803" s="79" t="s">
        <v>3127</v>
      </c>
      <c r="D803" s="79" t="s">
        <v>16</v>
      </c>
      <c r="E803" s="87" t="s">
        <v>3128</v>
      </c>
      <c r="F803" s="82">
        <f t="shared" si="39"/>
        <v>2</v>
      </c>
      <c r="G803" s="79" t="s">
        <v>3129</v>
      </c>
      <c r="H803" s="79"/>
      <c r="I803" s="87" t="s">
        <v>3130</v>
      </c>
      <c r="J803" s="81" t="s">
        <v>3131</v>
      </c>
      <c r="K803" s="83"/>
      <c r="L803" s="83"/>
    </row>
    <row r="804">
      <c r="A804" s="78"/>
      <c r="B804" s="78" t="s">
        <v>2835</v>
      </c>
      <c r="C804" s="79" t="s">
        <v>3132</v>
      </c>
      <c r="D804" s="79" t="s">
        <v>3132</v>
      </c>
      <c r="E804" s="87" t="s">
        <v>3133</v>
      </c>
      <c r="F804" s="82">
        <f t="shared" si="39"/>
        <v>2</v>
      </c>
      <c r="G804" s="79" t="s">
        <v>3134</v>
      </c>
      <c r="H804" s="79"/>
      <c r="I804" s="87" t="s">
        <v>3135</v>
      </c>
      <c r="J804" s="81" t="s">
        <v>3136</v>
      </c>
      <c r="K804" s="83"/>
      <c r="L804" s="83"/>
    </row>
    <row r="805">
      <c r="A805" s="78"/>
      <c r="B805" s="78" t="s">
        <v>2835</v>
      </c>
      <c r="C805" s="79" t="s">
        <v>3137</v>
      </c>
      <c r="D805" s="79" t="s">
        <v>31</v>
      </c>
      <c r="E805" s="83"/>
      <c r="F805" s="82">
        <f t="shared" si="39"/>
        <v>2</v>
      </c>
      <c r="G805" s="79" t="s">
        <v>3138</v>
      </c>
      <c r="H805" s="79"/>
      <c r="I805" s="87" t="s">
        <v>3139</v>
      </c>
      <c r="J805" s="81" t="s">
        <v>3140</v>
      </c>
      <c r="K805" s="83"/>
      <c r="L805" s="83"/>
    </row>
    <row r="806">
      <c r="A806" s="78"/>
      <c r="B806" s="78" t="s">
        <v>2835</v>
      </c>
      <c r="C806" s="79" t="s">
        <v>3141</v>
      </c>
      <c r="D806" s="79" t="s">
        <v>16</v>
      </c>
      <c r="E806" s="87" t="s">
        <v>3142</v>
      </c>
      <c r="F806" s="82">
        <f t="shared" si="39"/>
        <v>1</v>
      </c>
      <c r="G806" s="79" t="s">
        <v>3143</v>
      </c>
      <c r="H806" s="79"/>
      <c r="I806" s="87" t="s">
        <v>3144</v>
      </c>
      <c r="J806" s="95"/>
      <c r="K806" s="83"/>
      <c r="L806" s="83"/>
    </row>
    <row r="807">
      <c r="A807" s="78"/>
      <c r="B807" s="78" t="s">
        <v>2835</v>
      </c>
      <c r="C807" s="79" t="s">
        <v>3145</v>
      </c>
      <c r="D807" s="79" t="s">
        <v>40</v>
      </c>
      <c r="E807" s="87" t="s">
        <v>3146</v>
      </c>
      <c r="F807" s="82">
        <f t="shared" si="39"/>
        <v>2</v>
      </c>
      <c r="G807" s="79" t="s">
        <v>3147</v>
      </c>
      <c r="H807" s="79"/>
      <c r="I807" s="87" t="s">
        <v>3148</v>
      </c>
      <c r="J807" s="81" t="s">
        <v>3149</v>
      </c>
      <c r="K807" s="83"/>
      <c r="L807" s="83"/>
    </row>
    <row r="808">
      <c r="A808" s="78"/>
      <c r="B808" s="78" t="s">
        <v>2835</v>
      </c>
      <c r="C808" s="79" t="s">
        <v>3150</v>
      </c>
      <c r="D808" s="79" t="s">
        <v>40</v>
      </c>
      <c r="E808" s="83"/>
      <c r="F808" s="82">
        <f t="shared" si="39"/>
        <v>2</v>
      </c>
      <c r="G808" s="79" t="s">
        <v>3151</v>
      </c>
      <c r="H808" s="79"/>
      <c r="I808" s="87" t="s">
        <v>3152</v>
      </c>
      <c r="J808" s="81" t="s">
        <v>3153</v>
      </c>
      <c r="K808" s="83"/>
      <c r="L808" s="83"/>
    </row>
    <row r="809">
      <c r="A809" s="78"/>
      <c r="B809" s="78" t="s">
        <v>2835</v>
      </c>
      <c r="C809" s="79" t="s">
        <v>3154</v>
      </c>
      <c r="D809" s="79" t="s">
        <v>31</v>
      </c>
      <c r="E809" s="87" t="s">
        <v>3155</v>
      </c>
      <c r="F809" s="82">
        <f t="shared" si="39"/>
        <v>2</v>
      </c>
      <c r="G809" s="79" t="s">
        <v>3156</v>
      </c>
      <c r="H809" s="79" t="s">
        <v>3157</v>
      </c>
      <c r="I809" s="87" t="s">
        <v>3158</v>
      </c>
      <c r="J809" s="81" t="s">
        <v>3159</v>
      </c>
      <c r="K809" s="83"/>
      <c r="L809" s="83"/>
    </row>
    <row r="810">
      <c r="A810" s="78"/>
      <c r="B810" s="78" t="s">
        <v>2835</v>
      </c>
      <c r="C810" s="79" t="s">
        <v>3160</v>
      </c>
      <c r="D810" s="79" t="s">
        <v>40</v>
      </c>
      <c r="E810" s="87" t="s">
        <v>3161</v>
      </c>
      <c r="F810" s="82">
        <f t="shared" si="39"/>
        <v>2</v>
      </c>
      <c r="G810" s="79" t="s">
        <v>3162</v>
      </c>
      <c r="H810" s="79"/>
      <c r="I810" s="87" t="s">
        <v>3163</v>
      </c>
      <c r="J810" s="81" t="s">
        <v>3164</v>
      </c>
      <c r="K810" s="83"/>
      <c r="L810" s="83"/>
    </row>
    <row r="811">
      <c r="A811" s="78"/>
      <c r="B811" s="78" t="s">
        <v>2835</v>
      </c>
      <c r="C811" s="79" t="s">
        <v>3165</v>
      </c>
      <c r="D811" s="79" t="s">
        <v>40</v>
      </c>
      <c r="E811" s="83"/>
      <c r="F811" s="82">
        <f t="shared" si="39"/>
        <v>2</v>
      </c>
      <c r="G811" s="79" t="s">
        <v>3166</v>
      </c>
      <c r="H811" s="79"/>
      <c r="I811" s="87" t="s">
        <v>3167</v>
      </c>
      <c r="J811" s="81" t="s">
        <v>3168</v>
      </c>
      <c r="K811" s="83"/>
      <c r="L811" s="83"/>
    </row>
    <row r="812">
      <c r="A812" s="78"/>
      <c r="B812" s="78" t="s">
        <v>2835</v>
      </c>
      <c r="C812" s="79" t="s">
        <v>3169</v>
      </c>
      <c r="D812" s="79" t="s">
        <v>3170</v>
      </c>
      <c r="E812" s="87" t="s">
        <v>3171</v>
      </c>
      <c r="F812" s="82">
        <f t="shared" si="39"/>
        <v>2</v>
      </c>
      <c r="G812" s="79" t="s">
        <v>3172</v>
      </c>
      <c r="H812" s="79"/>
      <c r="I812" s="87" t="s">
        <v>3173</v>
      </c>
      <c r="J812" s="81" t="s">
        <v>3174</v>
      </c>
      <c r="K812" s="83"/>
      <c r="L812" s="83"/>
    </row>
    <row r="813">
      <c r="A813" s="78"/>
      <c r="B813" s="78" t="s">
        <v>2835</v>
      </c>
      <c r="C813" s="79" t="s">
        <v>3175</v>
      </c>
      <c r="D813" s="79" t="s">
        <v>3170</v>
      </c>
      <c r="E813" s="83"/>
      <c r="F813" s="82">
        <f t="shared" si="39"/>
        <v>2</v>
      </c>
      <c r="G813" s="79" t="s">
        <v>3176</v>
      </c>
      <c r="H813" s="79"/>
      <c r="I813" s="87" t="s">
        <v>3177</v>
      </c>
      <c r="J813" s="81" t="s">
        <v>3178</v>
      </c>
      <c r="K813" s="83"/>
      <c r="L813" s="83"/>
    </row>
    <row r="814">
      <c r="A814" s="78"/>
      <c r="B814" s="78" t="s">
        <v>2835</v>
      </c>
      <c r="C814" s="79" t="s">
        <v>3179</v>
      </c>
      <c r="D814" s="79" t="s">
        <v>3170</v>
      </c>
      <c r="E814" s="97" t="s">
        <v>3180</v>
      </c>
      <c r="F814" s="82">
        <f t="shared" si="39"/>
        <v>1</v>
      </c>
      <c r="G814" s="79" t="s">
        <v>3181</v>
      </c>
      <c r="H814" s="79"/>
      <c r="I814" s="87" t="s">
        <v>3182</v>
      </c>
      <c r="J814" s="95"/>
      <c r="K814" s="83"/>
      <c r="L814" s="83"/>
    </row>
    <row r="815">
      <c r="A815" s="78"/>
      <c r="B815" s="78" t="s">
        <v>2835</v>
      </c>
      <c r="C815" s="79" t="s">
        <v>3183</v>
      </c>
      <c r="D815" s="79" t="s">
        <v>3170</v>
      </c>
      <c r="E815" s="83"/>
      <c r="F815" s="82">
        <f t="shared" si="39"/>
        <v>1</v>
      </c>
      <c r="G815" s="79" t="s">
        <v>3184</v>
      </c>
      <c r="H815" s="79"/>
      <c r="I815" s="87" t="s">
        <v>3185</v>
      </c>
      <c r="J815" s="95"/>
      <c r="K815" s="83"/>
      <c r="L815" s="83"/>
    </row>
    <row r="816">
      <c r="A816" s="78"/>
      <c r="B816" s="78" t="s">
        <v>2835</v>
      </c>
      <c r="C816" s="79" t="s">
        <v>3186</v>
      </c>
      <c r="D816" s="79" t="s">
        <v>3170</v>
      </c>
      <c r="E816" s="97" t="s">
        <v>3187</v>
      </c>
      <c r="F816" s="82">
        <f t="shared" si="39"/>
        <v>1</v>
      </c>
      <c r="G816" s="79" t="s">
        <v>3188</v>
      </c>
      <c r="H816" s="79"/>
      <c r="I816" s="87" t="s">
        <v>3189</v>
      </c>
      <c r="J816" s="95"/>
      <c r="K816" s="83"/>
      <c r="L816" s="83"/>
    </row>
    <row r="817">
      <c r="A817" s="78"/>
      <c r="B817" s="78" t="s">
        <v>2835</v>
      </c>
      <c r="C817" s="79" t="s">
        <v>3190</v>
      </c>
      <c r="D817" s="79" t="s">
        <v>3170</v>
      </c>
      <c r="E817" s="83"/>
      <c r="F817" s="82">
        <f t="shared" si="39"/>
        <v>1</v>
      </c>
      <c r="G817" s="79" t="s">
        <v>3191</v>
      </c>
      <c r="H817" s="79"/>
      <c r="I817" s="87" t="s">
        <v>3192</v>
      </c>
      <c r="J817" s="95"/>
      <c r="K817" s="83"/>
      <c r="L817" s="83"/>
    </row>
    <row r="818">
      <c r="A818" s="78"/>
      <c r="B818" s="78" t="s">
        <v>2835</v>
      </c>
      <c r="C818" s="79" t="s">
        <v>3193</v>
      </c>
      <c r="D818" s="79" t="s">
        <v>3193</v>
      </c>
      <c r="E818" s="83"/>
      <c r="F818" s="82">
        <f t="shared" si="39"/>
        <v>2</v>
      </c>
      <c r="G818" s="79" t="s">
        <v>3194</v>
      </c>
      <c r="H818" s="79"/>
      <c r="I818" s="87" t="s">
        <v>3195</v>
      </c>
      <c r="J818" s="81" t="s">
        <v>3196</v>
      </c>
      <c r="K818" s="83"/>
      <c r="L818" s="83"/>
    </row>
    <row r="819">
      <c r="A819" s="78"/>
      <c r="B819" s="78" t="s">
        <v>2835</v>
      </c>
      <c r="C819" s="79" t="s">
        <v>3197</v>
      </c>
      <c r="D819" s="79" t="s">
        <v>3193</v>
      </c>
      <c r="E819" s="83"/>
      <c r="F819" s="82">
        <f t="shared" si="39"/>
        <v>2</v>
      </c>
      <c r="G819" s="79" t="s">
        <v>3198</v>
      </c>
      <c r="H819" s="79"/>
      <c r="I819" s="87" t="s">
        <v>3199</v>
      </c>
      <c r="J819" s="81" t="s">
        <v>3200</v>
      </c>
      <c r="K819" s="83"/>
      <c r="L819" s="83"/>
    </row>
    <row r="820">
      <c r="A820" s="78"/>
      <c r="B820" s="78" t="s">
        <v>2835</v>
      </c>
      <c r="C820" s="79" t="s">
        <v>3201</v>
      </c>
      <c r="D820" s="79" t="s">
        <v>3202</v>
      </c>
      <c r="E820" s="87" t="s">
        <v>3203</v>
      </c>
      <c r="F820" s="82">
        <f t="shared" si="39"/>
        <v>2</v>
      </c>
      <c r="G820" s="79" t="s">
        <v>3204</v>
      </c>
      <c r="H820" s="79"/>
      <c r="I820" s="87" t="s">
        <v>3205</v>
      </c>
      <c r="J820" s="81" t="s">
        <v>3206</v>
      </c>
      <c r="K820" s="83"/>
      <c r="L820" s="83"/>
    </row>
    <row r="821">
      <c r="A821" s="78"/>
      <c r="B821" s="78" t="s">
        <v>2835</v>
      </c>
      <c r="C821" s="79" t="s">
        <v>3207</v>
      </c>
      <c r="D821" s="79" t="s">
        <v>3202</v>
      </c>
      <c r="E821" s="83"/>
      <c r="F821" s="82">
        <f t="shared" si="39"/>
        <v>2</v>
      </c>
      <c r="G821" s="79" t="s">
        <v>3208</v>
      </c>
      <c r="H821" s="79"/>
      <c r="I821" s="87" t="s">
        <v>3209</v>
      </c>
      <c r="J821" s="81" t="s">
        <v>3210</v>
      </c>
      <c r="K821" s="83"/>
      <c r="L821" s="83"/>
    </row>
    <row r="822">
      <c r="A822" s="78"/>
      <c r="B822" s="78" t="s">
        <v>2835</v>
      </c>
      <c r="C822" s="79" t="s">
        <v>3211</v>
      </c>
      <c r="D822" s="79" t="s">
        <v>3212</v>
      </c>
      <c r="E822" s="87" t="s">
        <v>3213</v>
      </c>
      <c r="F822" s="82">
        <f t="shared" si="39"/>
        <v>2</v>
      </c>
      <c r="G822" s="79" t="s">
        <v>3214</v>
      </c>
      <c r="H822" s="79"/>
      <c r="I822" s="87" t="s">
        <v>3215</v>
      </c>
      <c r="J822" s="81" t="s">
        <v>3216</v>
      </c>
      <c r="K822" s="83"/>
      <c r="L822" s="83"/>
    </row>
    <row r="823">
      <c r="A823" s="78"/>
      <c r="B823" s="78" t="s">
        <v>2835</v>
      </c>
      <c r="C823" s="79" t="s">
        <v>3217</v>
      </c>
      <c r="D823" s="79" t="s">
        <v>3212</v>
      </c>
      <c r="E823" s="83"/>
      <c r="F823" s="82">
        <f t="shared" si="39"/>
        <v>2</v>
      </c>
      <c r="G823" s="79" t="s">
        <v>3218</v>
      </c>
      <c r="H823" s="79"/>
      <c r="I823" s="87" t="s">
        <v>3219</v>
      </c>
      <c r="J823" s="81" t="s">
        <v>3220</v>
      </c>
      <c r="K823" s="83"/>
      <c r="L823" s="83"/>
    </row>
    <row r="824">
      <c r="A824" s="78"/>
      <c r="B824" s="78" t="s">
        <v>2835</v>
      </c>
      <c r="C824" s="79" t="s">
        <v>3221</v>
      </c>
      <c r="D824" s="79" t="s">
        <v>3212</v>
      </c>
      <c r="E824" s="83"/>
      <c r="F824" s="82">
        <f t="shared" si="39"/>
        <v>1</v>
      </c>
      <c r="G824" s="79" t="s">
        <v>3222</v>
      </c>
      <c r="H824" s="79"/>
      <c r="I824" s="87" t="s">
        <v>3223</v>
      </c>
      <c r="J824" s="95"/>
      <c r="K824" s="83"/>
      <c r="L824" s="83"/>
    </row>
    <row r="825">
      <c r="A825" s="78"/>
      <c r="B825" s="78" t="s">
        <v>2835</v>
      </c>
      <c r="C825" s="79" t="s">
        <v>3224</v>
      </c>
      <c r="D825" s="79" t="s">
        <v>3212</v>
      </c>
      <c r="E825" s="83"/>
      <c r="F825" s="82">
        <f t="shared" si="39"/>
        <v>1</v>
      </c>
      <c r="G825" s="79" t="s">
        <v>3225</v>
      </c>
      <c r="H825" s="79"/>
      <c r="I825" s="87" t="s">
        <v>3226</v>
      </c>
      <c r="J825" s="95"/>
      <c r="K825" s="83"/>
      <c r="L825" s="83"/>
    </row>
    <row r="826">
      <c r="A826" s="78"/>
      <c r="B826" s="78" t="s">
        <v>2835</v>
      </c>
      <c r="C826" s="79" t="s">
        <v>3227</v>
      </c>
      <c r="D826" s="79" t="s">
        <v>3227</v>
      </c>
      <c r="E826" s="87" t="s">
        <v>3228</v>
      </c>
      <c r="F826" s="82">
        <f t="shared" si="39"/>
        <v>2</v>
      </c>
      <c r="G826" s="79" t="s">
        <v>3229</v>
      </c>
      <c r="H826" s="79"/>
      <c r="I826" s="87" t="s">
        <v>3230</v>
      </c>
      <c r="J826" s="81" t="s">
        <v>3231</v>
      </c>
      <c r="K826" s="83"/>
      <c r="L826" s="83"/>
    </row>
    <row r="827">
      <c r="A827" s="78"/>
      <c r="B827" s="78" t="s">
        <v>2835</v>
      </c>
      <c r="C827" s="79" t="s">
        <v>3232</v>
      </c>
      <c r="D827" s="79" t="s">
        <v>3227</v>
      </c>
      <c r="E827" s="83"/>
      <c r="F827" s="82">
        <f t="shared" si="39"/>
        <v>2</v>
      </c>
      <c r="G827" s="79" t="s">
        <v>3233</v>
      </c>
      <c r="H827" s="79"/>
      <c r="I827" s="87" t="s">
        <v>3234</v>
      </c>
      <c r="J827" s="81" t="s">
        <v>3235</v>
      </c>
      <c r="K827" s="83"/>
      <c r="L827" s="83"/>
    </row>
    <row r="828">
      <c r="A828" s="78"/>
      <c r="B828" s="78" t="s">
        <v>2835</v>
      </c>
      <c r="C828" s="79" t="s">
        <v>3236</v>
      </c>
      <c r="D828" s="79" t="s">
        <v>3227</v>
      </c>
      <c r="E828" s="83"/>
      <c r="F828" s="82">
        <f t="shared" si="39"/>
        <v>1</v>
      </c>
      <c r="G828" s="79" t="s">
        <v>3237</v>
      </c>
      <c r="H828" s="79"/>
      <c r="I828" s="87" t="s">
        <v>3238</v>
      </c>
      <c r="J828" s="95"/>
      <c r="K828" s="83"/>
      <c r="L828" s="83"/>
    </row>
    <row r="829">
      <c r="A829" s="78"/>
      <c r="B829" s="78" t="s">
        <v>2835</v>
      </c>
      <c r="C829" s="79" t="s">
        <v>3239</v>
      </c>
      <c r="D829" s="79" t="s">
        <v>3227</v>
      </c>
      <c r="E829" s="83"/>
      <c r="F829" s="82">
        <f t="shared" si="39"/>
        <v>1</v>
      </c>
      <c r="G829" s="79" t="s">
        <v>3240</v>
      </c>
      <c r="H829" s="79"/>
      <c r="I829" s="87" t="s">
        <v>3241</v>
      </c>
      <c r="J829" s="95"/>
      <c r="K829" s="83"/>
      <c r="L829" s="83"/>
    </row>
    <row r="830">
      <c r="A830" s="78"/>
      <c r="B830" s="78" t="s">
        <v>2835</v>
      </c>
      <c r="C830" s="79" t="s">
        <v>3242</v>
      </c>
      <c r="D830" s="79" t="s">
        <v>16</v>
      </c>
      <c r="E830" s="81" t="s">
        <v>3243</v>
      </c>
      <c r="F830" s="82">
        <f t="shared" si="39"/>
        <v>2</v>
      </c>
      <c r="G830" s="79" t="s">
        <v>3244</v>
      </c>
      <c r="H830" s="79"/>
      <c r="I830" s="81" t="s">
        <v>3245</v>
      </c>
      <c r="J830" s="81" t="s">
        <v>3246</v>
      </c>
      <c r="K830" s="83"/>
      <c r="L830" s="83"/>
    </row>
    <row r="831">
      <c r="A831" s="78"/>
      <c r="B831" s="78" t="s">
        <v>2835</v>
      </c>
      <c r="C831" s="79" t="s">
        <v>3247</v>
      </c>
      <c r="D831" s="79" t="s">
        <v>40</v>
      </c>
      <c r="E831" s="81" t="s">
        <v>3248</v>
      </c>
      <c r="F831" s="82">
        <f t="shared" si="39"/>
        <v>2</v>
      </c>
      <c r="G831" s="79" t="s">
        <v>3249</v>
      </c>
      <c r="H831" s="79"/>
      <c r="I831" s="81" t="s">
        <v>3250</v>
      </c>
      <c r="J831" s="81" t="s">
        <v>3251</v>
      </c>
      <c r="K831" s="83"/>
      <c r="L831" s="83"/>
    </row>
    <row r="832">
      <c r="A832" s="78"/>
      <c r="B832" s="78" t="s">
        <v>2835</v>
      </c>
      <c r="C832" s="79" t="s">
        <v>3252</v>
      </c>
      <c r="D832" s="79" t="s">
        <v>40</v>
      </c>
      <c r="E832" s="81"/>
      <c r="F832" s="82">
        <f t="shared" si="39"/>
        <v>2</v>
      </c>
      <c r="G832" s="79" t="s">
        <v>3253</v>
      </c>
      <c r="H832" s="79"/>
      <c r="I832" s="81" t="s">
        <v>3254</v>
      </c>
      <c r="J832" s="81" t="s">
        <v>3255</v>
      </c>
      <c r="K832" s="83"/>
      <c r="L832" s="83"/>
    </row>
    <row r="833">
      <c r="A833" s="78"/>
      <c r="B833" s="78" t="s">
        <v>2835</v>
      </c>
      <c r="C833" s="79" t="s">
        <v>3256</v>
      </c>
      <c r="D833" s="79" t="s">
        <v>3256</v>
      </c>
      <c r="E833" s="81"/>
      <c r="F833" s="82">
        <f t="shared" si="39"/>
        <v>1</v>
      </c>
      <c r="G833" s="79" t="s">
        <v>3257</v>
      </c>
      <c r="H833" s="79"/>
      <c r="I833" s="81"/>
      <c r="J833" s="81" t="s">
        <v>3258</v>
      </c>
      <c r="K833" s="83"/>
      <c r="L833" s="83"/>
    </row>
    <row r="834">
      <c r="A834" s="78"/>
      <c r="B834" s="78" t="s">
        <v>2835</v>
      </c>
      <c r="C834" s="79" t="s">
        <v>3259</v>
      </c>
      <c r="D834" s="79" t="s">
        <v>3256</v>
      </c>
      <c r="E834" s="81"/>
      <c r="F834" s="82">
        <f t="shared" si="39"/>
        <v>1</v>
      </c>
      <c r="G834" s="79" t="s">
        <v>3260</v>
      </c>
      <c r="H834" s="79"/>
      <c r="I834" s="81"/>
      <c r="J834" s="81" t="s">
        <v>3261</v>
      </c>
      <c r="K834" s="83"/>
      <c r="L834" s="83"/>
    </row>
    <row r="835">
      <c r="A835" s="78"/>
      <c r="B835" s="78" t="s">
        <v>2835</v>
      </c>
      <c r="C835" s="79" t="s">
        <v>3262</v>
      </c>
      <c r="D835" s="79" t="s">
        <v>3262</v>
      </c>
      <c r="E835" s="81"/>
      <c r="F835" s="82">
        <f t="shared" si="39"/>
        <v>2</v>
      </c>
      <c r="G835" s="79" t="s">
        <v>3263</v>
      </c>
      <c r="H835" s="79"/>
      <c r="I835" s="81" t="s">
        <v>3264</v>
      </c>
      <c r="J835" s="81" t="s">
        <v>3265</v>
      </c>
      <c r="K835" s="83"/>
      <c r="L835" s="83"/>
    </row>
    <row r="836">
      <c r="A836" s="78"/>
      <c r="B836" s="78" t="s">
        <v>2835</v>
      </c>
      <c r="C836" s="79" t="s">
        <v>3266</v>
      </c>
      <c r="D836" s="79" t="s">
        <v>3267</v>
      </c>
      <c r="E836" s="81" t="s">
        <v>3268</v>
      </c>
      <c r="F836" s="82">
        <f t="shared" si="39"/>
        <v>2</v>
      </c>
      <c r="G836" s="79" t="s">
        <v>3269</v>
      </c>
      <c r="H836" s="79"/>
      <c r="I836" s="81" t="s">
        <v>3270</v>
      </c>
      <c r="J836" s="81" t="s">
        <v>3271</v>
      </c>
      <c r="K836" s="83"/>
      <c r="L836" s="83"/>
    </row>
    <row r="837">
      <c r="A837" s="78"/>
      <c r="B837" s="78" t="s">
        <v>2835</v>
      </c>
      <c r="C837" s="79" t="s">
        <v>3272</v>
      </c>
      <c r="D837" s="79" t="s">
        <v>3267</v>
      </c>
      <c r="E837" s="81"/>
      <c r="F837" s="82">
        <f t="shared" si="39"/>
        <v>2</v>
      </c>
      <c r="G837" s="79" t="s">
        <v>3273</v>
      </c>
      <c r="H837" s="79"/>
      <c r="I837" s="81" t="s">
        <v>3274</v>
      </c>
      <c r="J837" s="81" t="s">
        <v>3275</v>
      </c>
      <c r="K837" s="83"/>
      <c r="L837" s="83"/>
    </row>
    <row r="838">
      <c r="A838" s="78"/>
      <c r="B838" s="78" t="s">
        <v>2835</v>
      </c>
      <c r="C838" s="79" t="s">
        <v>3276</v>
      </c>
      <c r="D838" s="79" t="s">
        <v>3267</v>
      </c>
      <c r="E838" s="81" t="s">
        <v>3277</v>
      </c>
      <c r="F838" s="82">
        <f t="shared" si="39"/>
        <v>2</v>
      </c>
      <c r="G838" s="79" t="s">
        <v>3278</v>
      </c>
      <c r="H838" s="79"/>
      <c r="I838" s="81" t="s">
        <v>3279</v>
      </c>
      <c r="J838" s="81" t="s">
        <v>3280</v>
      </c>
      <c r="K838" s="83"/>
      <c r="L838" s="83"/>
    </row>
    <row r="839">
      <c r="A839" s="78"/>
      <c r="B839" s="78" t="s">
        <v>2835</v>
      </c>
      <c r="C839" s="79" t="s">
        <v>3281</v>
      </c>
      <c r="D839" s="79" t="s">
        <v>3267</v>
      </c>
      <c r="E839" s="81"/>
      <c r="F839" s="82">
        <f t="shared" si="39"/>
        <v>2</v>
      </c>
      <c r="G839" s="79" t="s">
        <v>3282</v>
      </c>
      <c r="H839" s="79"/>
      <c r="I839" s="81" t="s">
        <v>3283</v>
      </c>
      <c r="J839" s="81" t="s">
        <v>3284</v>
      </c>
      <c r="K839" s="83"/>
      <c r="L839" s="83"/>
    </row>
    <row r="840">
      <c r="A840" s="78"/>
      <c r="B840" s="78" t="s">
        <v>2835</v>
      </c>
      <c r="C840" s="79" t="s">
        <v>3285</v>
      </c>
      <c r="D840" s="79" t="s">
        <v>3267</v>
      </c>
      <c r="E840" s="81" t="s">
        <v>3286</v>
      </c>
      <c r="F840" s="82">
        <f t="shared" si="39"/>
        <v>2</v>
      </c>
      <c r="G840" s="79" t="s">
        <v>3287</v>
      </c>
      <c r="H840" s="79"/>
      <c r="I840" s="81" t="s">
        <v>3288</v>
      </c>
      <c r="J840" s="81" t="s">
        <v>3289</v>
      </c>
      <c r="K840" s="83"/>
      <c r="L840" s="83"/>
    </row>
    <row r="841">
      <c r="A841" s="78"/>
      <c r="B841" s="78" t="s">
        <v>2835</v>
      </c>
      <c r="C841" s="79" t="s">
        <v>3290</v>
      </c>
      <c r="D841" s="79" t="s">
        <v>3267</v>
      </c>
      <c r="E841" s="81"/>
      <c r="F841" s="82">
        <f t="shared" si="39"/>
        <v>2</v>
      </c>
      <c r="G841" s="79" t="s">
        <v>3291</v>
      </c>
      <c r="H841" s="79"/>
      <c r="I841" s="81" t="s">
        <v>3292</v>
      </c>
      <c r="J841" s="81" t="s">
        <v>3293</v>
      </c>
      <c r="K841" s="83"/>
      <c r="L841" s="83"/>
    </row>
    <row r="842">
      <c r="A842" s="78"/>
      <c r="B842" s="78" t="s">
        <v>2835</v>
      </c>
      <c r="C842" s="79" t="s">
        <v>3294</v>
      </c>
      <c r="D842" s="79" t="s">
        <v>40</v>
      </c>
      <c r="E842" s="81" t="s">
        <v>3295</v>
      </c>
      <c r="F842" s="82">
        <f t="shared" si="39"/>
        <v>2</v>
      </c>
      <c r="G842" s="79" t="s">
        <v>3296</v>
      </c>
      <c r="H842" s="79"/>
      <c r="I842" s="81" t="s">
        <v>3297</v>
      </c>
      <c r="J842" s="81" t="s">
        <v>3298</v>
      </c>
      <c r="K842" s="83"/>
      <c r="L842" s="83"/>
    </row>
    <row r="843">
      <c r="A843" s="78"/>
      <c r="B843" s="78" t="s">
        <v>2835</v>
      </c>
      <c r="C843" s="79" t="s">
        <v>3299</v>
      </c>
      <c r="D843" s="79" t="s">
        <v>40</v>
      </c>
      <c r="E843" s="81"/>
      <c r="F843" s="82">
        <f t="shared" si="39"/>
        <v>2</v>
      </c>
      <c r="G843" s="79" t="s">
        <v>3300</v>
      </c>
      <c r="H843" s="79"/>
      <c r="I843" s="87" t="s">
        <v>3301</v>
      </c>
      <c r="J843" s="81" t="s">
        <v>3302</v>
      </c>
      <c r="K843" s="83"/>
      <c r="L843" s="83"/>
    </row>
    <row r="844">
      <c r="A844" s="78"/>
      <c r="B844" s="78" t="s">
        <v>2835</v>
      </c>
      <c r="C844" s="79" t="s">
        <v>3303</v>
      </c>
      <c r="D844" s="79" t="s">
        <v>40</v>
      </c>
      <c r="E844" s="81" t="s">
        <v>3304</v>
      </c>
      <c r="F844" s="82">
        <f t="shared" si="39"/>
        <v>2</v>
      </c>
      <c r="G844" s="79" t="s">
        <v>3305</v>
      </c>
      <c r="H844" s="79"/>
      <c r="I844" s="81" t="s">
        <v>3306</v>
      </c>
      <c r="J844" s="81" t="s">
        <v>3307</v>
      </c>
      <c r="K844" s="83"/>
      <c r="L844" s="83"/>
    </row>
    <row r="845">
      <c r="A845" s="78"/>
      <c r="B845" s="78" t="s">
        <v>2835</v>
      </c>
      <c r="C845" s="79" t="s">
        <v>3308</v>
      </c>
      <c r="D845" s="79" t="s">
        <v>40</v>
      </c>
      <c r="E845" s="81"/>
      <c r="F845" s="82">
        <f t="shared" si="39"/>
        <v>1</v>
      </c>
      <c r="G845" s="79" t="s">
        <v>3309</v>
      </c>
      <c r="H845" s="79"/>
      <c r="I845" s="81" t="s">
        <v>3310</v>
      </c>
      <c r="J845" s="95"/>
      <c r="K845" s="83"/>
      <c r="L845" s="83"/>
    </row>
    <row r="846">
      <c r="A846" s="78"/>
      <c r="B846" s="78" t="s">
        <v>2835</v>
      </c>
      <c r="C846" s="79" t="s">
        <v>3311</v>
      </c>
      <c r="D846" s="79" t="s">
        <v>40</v>
      </c>
      <c r="E846" s="81" t="s">
        <v>3312</v>
      </c>
      <c r="F846" s="82">
        <f t="shared" si="39"/>
        <v>2</v>
      </c>
      <c r="G846" s="79" t="s">
        <v>3313</v>
      </c>
      <c r="H846" s="79"/>
      <c r="I846" s="81" t="s">
        <v>3314</v>
      </c>
      <c r="J846" s="81" t="s">
        <v>3315</v>
      </c>
      <c r="K846" s="83"/>
      <c r="L846" s="83"/>
    </row>
    <row r="847">
      <c r="A847" s="78"/>
      <c r="B847" s="78" t="s">
        <v>2835</v>
      </c>
      <c r="C847" s="79" t="s">
        <v>3316</v>
      </c>
      <c r="D847" s="79" t="s">
        <v>40</v>
      </c>
      <c r="E847" s="81"/>
      <c r="F847" s="82">
        <f t="shared" si="39"/>
        <v>1</v>
      </c>
      <c r="G847" s="79" t="s">
        <v>3317</v>
      </c>
      <c r="H847" s="79"/>
      <c r="I847" s="81" t="s">
        <v>3318</v>
      </c>
      <c r="J847" s="95"/>
      <c r="K847" s="83"/>
      <c r="L847" s="83"/>
    </row>
    <row r="848">
      <c r="A848" s="78"/>
      <c r="B848" s="78" t="s">
        <v>2835</v>
      </c>
      <c r="C848" s="79" t="s">
        <v>3319</v>
      </c>
      <c r="D848" s="79" t="s">
        <v>40</v>
      </c>
      <c r="E848" s="81" t="s">
        <v>3320</v>
      </c>
      <c r="F848" s="82">
        <f t="shared" si="39"/>
        <v>1</v>
      </c>
      <c r="G848" s="79" t="s">
        <v>3321</v>
      </c>
      <c r="H848" s="79"/>
      <c r="I848" s="81" t="s">
        <v>3322</v>
      </c>
      <c r="J848" s="95"/>
      <c r="K848" s="83"/>
      <c r="L848" s="83"/>
    </row>
    <row r="849">
      <c r="A849" s="78"/>
      <c r="B849" s="78" t="s">
        <v>2835</v>
      </c>
      <c r="C849" s="79" t="s">
        <v>3323</v>
      </c>
      <c r="D849" s="79" t="s">
        <v>40</v>
      </c>
      <c r="E849" s="81"/>
      <c r="F849" s="82">
        <f t="shared" si="39"/>
        <v>1</v>
      </c>
      <c r="G849" s="79" t="s">
        <v>3324</v>
      </c>
      <c r="H849" s="79"/>
      <c r="I849" s="81" t="s">
        <v>3325</v>
      </c>
      <c r="J849" s="95"/>
      <c r="K849" s="83"/>
      <c r="L849" s="83"/>
    </row>
    <row r="850">
      <c r="A850" s="78"/>
      <c r="B850" s="78" t="s">
        <v>2835</v>
      </c>
      <c r="C850" s="79" t="s">
        <v>3326</v>
      </c>
      <c r="D850" s="79" t="s">
        <v>40</v>
      </c>
      <c r="E850" s="81" t="s">
        <v>3327</v>
      </c>
      <c r="F850" s="82">
        <f t="shared" si="39"/>
        <v>1</v>
      </c>
      <c r="G850" s="79" t="s">
        <v>3328</v>
      </c>
      <c r="H850" s="79"/>
      <c r="I850" s="81" t="s">
        <v>3329</v>
      </c>
      <c r="J850" s="95"/>
      <c r="K850" s="83"/>
      <c r="L850" s="83"/>
    </row>
    <row r="851">
      <c r="A851" s="78"/>
      <c r="B851" s="78" t="s">
        <v>2835</v>
      </c>
      <c r="C851" s="79" t="s">
        <v>3330</v>
      </c>
      <c r="D851" s="79" t="s">
        <v>40</v>
      </c>
      <c r="E851" s="81"/>
      <c r="F851" s="82">
        <f t="shared" si="39"/>
        <v>1</v>
      </c>
      <c r="G851" s="79" t="s">
        <v>3331</v>
      </c>
      <c r="H851" s="79"/>
      <c r="I851" s="81" t="s">
        <v>3332</v>
      </c>
      <c r="J851" s="95"/>
      <c r="K851" s="83"/>
      <c r="L851" s="83"/>
    </row>
    <row r="852">
      <c r="A852" s="78"/>
      <c r="B852" s="78" t="s">
        <v>2835</v>
      </c>
      <c r="C852" s="79" t="s">
        <v>3333</v>
      </c>
      <c r="D852" s="79" t="s">
        <v>40</v>
      </c>
      <c r="E852" s="81" t="s">
        <v>3334</v>
      </c>
      <c r="F852" s="82">
        <f t="shared" si="39"/>
        <v>2</v>
      </c>
      <c r="G852" s="79" t="s">
        <v>3335</v>
      </c>
      <c r="H852" s="79"/>
      <c r="I852" s="81" t="s">
        <v>3336</v>
      </c>
      <c r="J852" s="81" t="s">
        <v>3337</v>
      </c>
      <c r="K852" s="83"/>
      <c r="L852" s="83"/>
    </row>
    <row r="853">
      <c r="A853" s="78"/>
      <c r="B853" s="78" t="s">
        <v>2835</v>
      </c>
      <c r="C853" s="79" t="s">
        <v>3338</v>
      </c>
      <c r="D853" s="79" t="s">
        <v>40</v>
      </c>
      <c r="E853" s="81"/>
      <c r="F853" s="82">
        <f t="shared" si="39"/>
        <v>2</v>
      </c>
      <c r="G853" s="79" t="s">
        <v>3339</v>
      </c>
      <c r="H853" s="79"/>
      <c r="I853" s="81" t="s">
        <v>3340</v>
      </c>
      <c r="J853" s="81" t="s">
        <v>3341</v>
      </c>
      <c r="K853" s="83"/>
      <c r="L853" s="83"/>
    </row>
    <row r="854">
      <c r="A854" s="78"/>
      <c r="B854" s="78" t="s">
        <v>2835</v>
      </c>
      <c r="C854" s="79" t="s">
        <v>3342</v>
      </c>
      <c r="D854" s="79" t="s">
        <v>3267</v>
      </c>
      <c r="E854" s="81" t="s">
        <v>3343</v>
      </c>
      <c r="F854" s="82">
        <f t="shared" si="39"/>
        <v>2</v>
      </c>
      <c r="G854" s="79" t="s">
        <v>3344</v>
      </c>
      <c r="H854" s="79"/>
      <c r="I854" s="81" t="s">
        <v>3345</v>
      </c>
      <c r="J854" s="81" t="s">
        <v>3346</v>
      </c>
      <c r="K854" s="83"/>
      <c r="L854" s="83"/>
    </row>
    <row r="855">
      <c r="A855" s="78"/>
      <c r="B855" s="78" t="s">
        <v>2835</v>
      </c>
      <c r="C855" s="79" t="s">
        <v>3347</v>
      </c>
      <c r="D855" s="79" t="s">
        <v>3267</v>
      </c>
      <c r="E855" s="81"/>
      <c r="F855" s="82">
        <f t="shared" si="39"/>
        <v>2</v>
      </c>
      <c r="G855" s="79" t="s">
        <v>3348</v>
      </c>
      <c r="H855" s="79"/>
      <c r="I855" s="81" t="s">
        <v>3349</v>
      </c>
      <c r="J855" s="81" t="s">
        <v>3350</v>
      </c>
      <c r="K855" s="83"/>
      <c r="L855" s="83"/>
    </row>
    <row r="856">
      <c r="A856" s="78"/>
      <c r="B856" s="78" t="s">
        <v>2835</v>
      </c>
      <c r="C856" s="79" t="s">
        <v>3351</v>
      </c>
      <c r="D856" s="79" t="s">
        <v>3352</v>
      </c>
      <c r="E856" s="81" t="s">
        <v>3353</v>
      </c>
      <c r="F856" s="82">
        <f t="shared" si="39"/>
        <v>2</v>
      </c>
      <c r="G856" s="79" t="s">
        <v>3354</v>
      </c>
      <c r="H856" s="79"/>
      <c r="I856" s="81" t="s">
        <v>3355</v>
      </c>
      <c r="J856" s="81" t="s">
        <v>3356</v>
      </c>
      <c r="K856" s="83"/>
      <c r="L856" s="83"/>
    </row>
    <row r="857">
      <c r="A857" s="78"/>
      <c r="B857" s="78" t="s">
        <v>2835</v>
      </c>
      <c r="C857" s="79" t="s">
        <v>3357</v>
      </c>
      <c r="D857" s="79" t="s">
        <v>3352</v>
      </c>
      <c r="E857" s="81"/>
      <c r="F857" s="82">
        <f t="shared" si="39"/>
        <v>2</v>
      </c>
      <c r="G857" s="79" t="s">
        <v>3358</v>
      </c>
      <c r="H857" s="79"/>
      <c r="I857" s="81" t="s">
        <v>3359</v>
      </c>
      <c r="J857" s="81" t="s">
        <v>3360</v>
      </c>
      <c r="K857" s="83"/>
      <c r="L857" s="83"/>
    </row>
    <row r="858">
      <c r="A858" s="78"/>
      <c r="B858" s="78" t="s">
        <v>2835</v>
      </c>
      <c r="C858" s="79" t="s">
        <v>3361</v>
      </c>
      <c r="D858" s="79" t="s">
        <v>3352</v>
      </c>
      <c r="E858" s="81" t="s">
        <v>3362</v>
      </c>
      <c r="F858" s="82">
        <f t="shared" si="39"/>
        <v>1</v>
      </c>
      <c r="G858" s="79" t="s">
        <v>3363</v>
      </c>
      <c r="H858" s="79"/>
      <c r="I858" s="81" t="s">
        <v>3364</v>
      </c>
      <c r="J858" s="95"/>
      <c r="K858" s="83"/>
      <c r="L858" s="83"/>
    </row>
    <row r="859">
      <c r="A859" s="78"/>
      <c r="B859" s="78" t="s">
        <v>2835</v>
      </c>
      <c r="C859" s="79" t="s">
        <v>3365</v>
      </c>
      <c r="D859" s="79" t="s">
        <v>3352</v>
      </c>
      <c r="E859" s="81"/>
      <c r="F859" s="82">
        <f t="shared" si="39"/>
        <v>1</v>
      </c>
      <c r="G859" s="79" t="s">
        <v>3366</v>
      </c>
      <c r="H859" s="79"/>
      <c r="I859" s="81" t="s">
        <v>3367</v>
      </c>
      <c r="J859" s="95"/>
      <c r="K859" s="83"/>
      <c r="L859" s="83"/>
    </row>
    <row r="860">
      <c r="A860" s="78"/>
      <c r="B860" s="78" t="s">
        <v>2835</v>
      </c>
      <c r="C860" s="79" t="s">
        <v>3368</v>
      </c>
      <c r="D860" s="79" t="s">
        <v>3267</v>
      </c>
      <c r="E860" s="81" t="s">
        <v>3369</v>
      </c>
      <c r="F860" s="82">
        <f t="shared" si="39"/>
        <v>2</v>
      </c>
      <c r="G860" s="79" t="s">
        <v>3370</v>
      </c>
      <c r="H860" s="79"/>
      <c r="I860" s="81" t="s">
        <v>3371</v>
      </c>
      <c r="J860" s="81" t="s">
        <v>3372</v>
      </c>
      <c r="K860" s="83"/>
      <c r="L860" s="83"/>
    </row>
    <row r="861">
      <c r="A861" s="78"/>
      <c r="B861" s="78" t="s">
        <v>2835</v>
      </c>
      <c r="C861" s="79" t="s">
        <v>3373</v>
      </c>
      <c r="D861" s="79" t="s">
        <v>3267</v>
      </c>
      <c r="E861" s="81"/>
      <c r="F861" s="82">
        <f t="shared" si="39"/>
        <v>2</v>
      </c>
      <c r="G861" s="79" t="s">
        <v>3374</v>
      </c>
      <c r="H861" s="79"/>
      <c r="I861" s="81" t="s">
        <v>3375</v>
      </c>
      <c r="J861" s="81" t="s">
        <v>3376</v>
      </c>
      <c r="K861" s="83"/>
      <c r="L861" s="83"/>
    </row>
    <row r="862">
      <c r="A862" s="78"/>
      <c r="B862" s="78" t="s">
        <v>2835</v>
      </c>
      <c r="C862" s="79" t="s">
        <v>3377</v>
      </c>
      <c r="D862" s="79" t="s">
        <v>3378</v>
      </c>
      <c r="E862" s="81" t="s">
        <v>3379</v>
      </c>
      <c r="F862" s="82">
        <f t="shared" si="39"/>
        <v>2</v>
      </c>
      <c r="G862" s="79" t="s">
        <v>3380</v>
      </c>
      <c r="H862" s="79"/>
      <c r="I862" s="81" t="s">
        <v>3381</v>
      </c>
      <c r="J862" s="81" t="s">
        <v>3382</v>
      </c>
      <c r="K862" s="83"/>
      <c r="L862" s="83"/>
    </row>
    <row r="863">
      <c r="A863" s="78"/>
      <c r="B863" s="78" t="s">
        <v>2835</v>
      </c>
      <c r="C863" s="79" t="s">
        <v>3383</v>
      </c>
      <c r="D863" s="79" t="s">
        <v>3378</v>
      </c>
      <c r="E863" s="81"/>
      <c r="F863" s="82">
        <f t="shared" si="39"/>
        <v>2</v>
      </c>
      <c r="G863" s="79" t="s">
        <v>3384</v>
      </c>
      <c r="H863" s="79"/>
      <c r="I863" s="81" t="s">
        <v>3385</v>
      </c>
      <c r="J863" s="81" t="s">
        <v>3386</v>
      </c>
      <c r="K863" s="83"/>
      <c r="L863" s="83"/>
    </row>
    <row r="864">
      <c r="A864" s="78"/>
      <c r="B864" s="78" t="s">
        <v>2835</v>
      </c>
      <c r="C864" s="79" t="s">
        <v>3387</v>
      </c>
      <c r="D864" s="79" t="s">
        <v>3378</v>
      </c>
      <c r="E864" s="81" t="s">
        <v>3388</v>
      </c>
      <c r="F864" s="82">
        <f t="shared" si="39"/>
        <v>1</v>
      </c>
      <c r="G864" s="79" t="s">
        <v>3389</v>
      </c>
      <c r="H864" s="79"/>
      <c r="I864" s="81" t="s">
        <v>3390</v>
      </c>
      <c r="J864" s="95"/>
      <c r="K864" s="83"/>
      <c r="L864" s="83"/>
    </row>
    <row r="865">
      <c r="A865" s="78"/>
      <c r="B865" s="78" t="s">
        <v>2835</v>
      </c>
      <c r="C865" s="79" t="s">
        <v>3391</v>
      </c>
      <c r="D865" s="79" t="s">
        <v>3378</v>
      </c>
      <c r="E865" s="81"/>
      <c r="F865" s="82">
        <f t="shared" si="39"/>
        <v>1</v>
      </c>
      <c r="G865" s="79" t="s">
        <v>3392</v>
      </c>
      <c r="H865" s="79"/>
      <c r="I865" s="81" t="s">
        <v>3393</v>
      </c>
      <c r="J865" s="95"/>
      <c r="K865" s="83"/>
      <c r="L865" s="83"/>
    </row>
    <row r="866">
      <c r="A866" s="78"/>
      <c r="B866" s="78" t="s">
        <v>2835</v>
      </c>
      <c r="C866" s="79" t="s">
        <v>2897</v>
      </c>
      <c r="D866" s="79" t="s">
        <v>2897</v>
      </c>
      <c r="E866" s="81" t="s">
        <v>3394</v>
      </c>
      <c r="F866" s="82">
        <f t="shared" si="39"/>
        <v>2</v>
      </c>
      <c r="G866" s="79" t="s">
        <v>3395</v>
      </c>
      <c r="H866" s="79"/>
      <c r="I866" s="81" t="s">
        <v>3396</v>
      </c>
      <c r="J866" s="81" t="s">
        <v>3397</v>
      </c>
      <c r="K866" s="83"/>
      <c r="L866" s="83"/>
    </row>
    <row r="867">
      <c r="A867" s="78"/>
      <c r="B867" s="78" t="s">
        <v>2835</v>
      </c>
      <c r="C867" s="79" t="s">
        <v>3398</v>
      </c>
      <c r="D867" s="79" t="s">
        <v>2897</v>
      </c>
      <c r="E867" s="81"/>
      <c r="F867" s="82">
        <f t="shared" si="39"/>
        <v>2</v>
      </c>
      <c r="G867" s="79" t="s">
        <v>3399</v>
      </c>
      <c r="H867" s="79"/>
      <c r="I867" s="81" t="s">
        <v>3400</v>
      </c>
      <c r="J867" s="81" t="s">
        <v>3401</v>
      </c>
      <c r="K867" s="83"/>
      <c r="L867" s="83"/>
    </row>
    <row r="868">
      <c r="A868" s="78"/>
      <c r="B868" s="78" t="s">
        <v>2835</v>
      </c>
      <c r="C868" s="79" t="s">
        <v>3402</v>
      </c>
      <c r="D868" s="79" t="s">
        <v>3402</v>
      </c>
      <c r="E868" s="81" t="s">
        <v>3403</v>
      </c>
      <c r="F868" s="82">
        <f t="shared" si="39"/>
        <v>1</v>
      </c>
      <c r="G868" s="79" t="s">
        <v>3404</v>
      </c>
      <c r="H868" s="79"/>
      <c r="I868" s="81"/>
      <c r="J868" s="81" t="s">
        <v>3405</v>
      </c>
      <c r="K868" s="83"/>
      <c r="L868" s="83"/>
    </row>
    <row r="869">
      <c r="A869" s="78"/>
      <c r="B869" s="78" t="s">
        <v>2835</v>
      </c>
      <c r="C869" s="79" t="s">
        <v>3406</v>
      </c>
      <c r="D869" s="79" t="s">
        <v>3402</v>
      </c>
      <c r="E869" s="81"/>
      <c r="F869" s="82">
        <f t="shared" si="39"/>
        <v>1</v>
      </c>
      <c r="G869" s="79" t="s">
        <v>3407</v>
      </c>
      <c r="H869" s="79"/>
      <c r="I869" s="81"/>
      <c r="J869" s="81" t="s">
        <v>3408</v>
      </c>
      <c r="K869" s="83"/>
      <c r="L869" s="83"/>
    </row>
    <row r="870">
      <c r="A870" s="78"/>
      <c r="B870" s="78" t="s">
        <v>2835</v>
      </c>
      <c r="C870" s="79" t="s">
        <v>3409</v>
      </c>
      <c r="D870" s="79" t="s">
        <v>3409</v>
      </c>
      <c r="E870" s="81" t="s">
        <v>3410</v>
      </c>
      <c r="F870" s="82">
        <f t="shared" si="39"/>
        <v>1</v>
      </c>
      <c r="G870" s="79" t="s">
        <v>3411</v>
      </c>
      <c r="H870" s="79"/>
      <c r="I870" s="81"/>
      <c r="J870" s="81" t="s">
        <v>3412</v>
      </c>
      <c r="K870" s="83"/>
      <c r="L870" s="83"/>
    </row>
    <row r="871">
      <c r="A871" s="78"/>
      <c r="B871" s="78" t="s">
        <v>2835</v>
      </c>
      <c r="C871" s="79" t="s">
        <v>3413</v>
      </c>
      <c r="D871" s="79" t="s">
        <v>3409</v>
      </c>
      <c r="E871" s="81"/>
      <c r="F871" s="82">
        <f t="shared" si="39"/>
        <v>1</v>
      </c>
      <c r="G871" s="79" t="s">
        <v>3414</v>
      </c>
      <c r="H871" s="79"/>
      <c r="I871" s="81"/>
      <c r="J871" s="81" t="s">
        <v>3415</v>
      </c>
      <c r="K871" s="83"/>
      <c r="L871" s="83"/>
    </row>
    <row r="872">
      <c r="A872" s="78"/>
      <c r="B872" s="78" t="s">
        <v>2835</v>
      </c>
      <c r="C872" s="79" t="s">
        <v>3416</v>
      </c>
      <c r="D872" s="79" t="s">
        <v>16</v>
      </c>
      <c r="E872" s="81" t="s">
        <v>3417</v>
      </c>
      <c r="F872" s="82">
        <f t="shared" si="39"/>
        <v>2</v>
      </c>
      <c r="G872" s="79" t="s">
        <v>3418</v>
      </c>
      <c r="H872" s="79"/>
      <c r="I872" s="81" t="s">
        <v>3419</v>
      </c>
      <c r="J872" s="81" t="s">
        <v>3420</v>
      </c>
      <c r="K872" s="83"/>
      <c r="L872" s="83"/>
    </row>
    <row r="873">
      <c r="A873" s="33"/>
      <c r="B873" s="33"/>
      <c r="C873" s="12"/>
      <c r="D873" s="12"/>
      <c r="E873" s="15"/>
      <c r="F873" s="14"/>
      <c r="G873" s="12"/>
      <c r="H873" s="12"/>
      <c r="I873" s="15"/>
      <c r="J873" s="15"/>
    </row>
    <row r="874">
      <c r="A874" s="98" t="s">
        <v>3421</v>
      </c>
      <c r="B874" s="98" t="s">
        <v>3422</v>
      </c>
      <c r="C874" s="99" t="s">
        <v>3423</v>
      </c>
      <c r="D874" s="99" t="s">
        <v>3423</v>
      </c>
      <c r="E874" s="100" t="s">
        <v>3424</v>
      </c>
      <c r="F874" s="101">
        <f t="shared" ref="F874:F901" si="40">counta(I874:J874)</f>
        <v>1</v>
      </c>
      <c r="G874" s="99" t="s">
        <v>3423</v>
      </c>
      <c r="H874" s="99" t="s">
        <v>3425</v>
      </c>
      <c r="I874" s="100" t="s">
        <v>3426</v>
      </c>
      <c r="J874" s="100"/>
    </row>
    <row r="875">
      <c r="A875" s="98"/>
      <c r="B875" s="98" t="s">
        <v>3422</v>
      </c>
      <c r="C875" s="99" t="s">
        <v>3427</v>
      </c>
      <c r="D875" s="99" t="s">
        <v>26</v>
      </c>
      <c r="E875" s="100" t="s">
        <v>3428</v>
      </c>
      <c r="F875" s="101">
        <f t="shared" si="40"/>
        <v>1</v>
      </c>
      <c r="G875" s="99" t="s">
        <v>3429</v>
      </c>
      <c r="H875" s="99" t="s">
        <v>3430</v>
      </c>
      <c r="I875" s="100"/>
      <c r="J875" s="100" t="s">
        <v>3431</v>
      </c>
    </row>
    <row r="876">
      <c r="A876" s="102"/>
      <c r="B876" s="98" t="s">
        <v>3422</v>
      </c>
      <c r="C876" s="99" t="s">
        <v>3432</v>
      </c>
      <c r="D876" s="99" t="s">
        <v>3423</v>
      </c>
      <c r="E876" s="100" t="s">
        <v>3433</v>
      </c>
      <c r="F876" s="101">
        <f t="shared" si="40"/>
        <v>2</v>
      </c>
      <c r="G876" s="99" t="s">
        <v>3434</v>
      </c>
      <c r="H876" s="99"/>
      <c r="I876" s="100" t="s">
        <v>3435</v>
      </c>
      <c r="J876" s="100" t="s">
        <v>3436</v>
      </c>
    </row>
    <row r="877">
      <c r="A877" s="98"/>
      <c r="B877" s="98" t="s">
        <v>3422</v>
      </c>
      <c r="C877" s="99" t="s">
        <v>3437</v>
      </c>
      <c r="D877" s="99" t="s">
        <v>26</v>
      </c>
      <c r="E877" s="100" t="s">
        <v>3438</v>
      </c>
      <c r="F877" s="101">
        <f t="shared" si="40"/>
        <v>2</v>
      </c>
      <c r="G877" s="99" t="s">
        <v>3439</v>
      </c>
      <c r="H877" s="99"/>
      <c r="I877" s="100" t="s">
        <v>3440</v>
      </c>
      <c r="J877" s="100" t="s">
        <v>3441</v>
      </c>
    </row>
    <row r="878">
      <c r="A878" s="98"/>
      <c r="B878" s="98" t="s">
        <v>3422</v>
      </c>
      <c r="C878" s="99" t="s">
        <v>3442</v>
      </c>
      <c r="D878" s="99" t="s">
        <v>483</v>
      </c>
      <c r="E878" s="100" t="s">
        <v>3443</v>
      </c>
      <c r="F878" s="101">
        <f t="shared" si="40"/>
        <v>2</v>
      </c>
      <c r="G878" s="99" t="s">
        <v>3444</v>
      </c>
      <c r="H878" s="99"/>
      <c r="I878" s="100" t="s">
        <v>3445</v>
      </c>
      <c r="J878" s="100" t="s">
        <v>3446</v>
      </c>
    </row>
    <row r="879">
      <c r="A879" s="98"/>
      <c r="B879" s="98" t="s">
        <v>3422</v>
      </c>
      <c r="C879" s="99" t="s">
        <v>3447</v>
      </c>
      <c r="D879" s="99" t="s">
        <v>483</v>
      </c>
      <c r="E879" s="100" t="s">
        <v>3448</v>
      </c>
      <c r="F879" s="101">
        <f t="shared" si="40"/>
        <v>2</v>
      </c>
      <c r="G879" s="99" t="s">
        <v>3449</v>
      </c>
      <c r="H879" s="99"/>
      <c r="I879" s="100" t="s">
        <v>3450</v>
      </c>
      <c r="J879" s="100" t="s">
        <v>3451</v>
      </c>
    </row>
    <row r="880">
      <c r="A880" s="98"/>
      <c r="B880" s="98" t="s">
        <v>3422</v>
      </c>
      <c r="C880" s="99" t="s">
        <v>3452</v>
      </c>
      <c r="D880" s="99" t="s">
        <v>483</v>
      </c>
      <c r="E880" s="100" t="s">
        <v>3453</v>
      </c>
      <c r="F880" s="101">
        <f t="shared" si="40"/>
        <v>2</v>
      </c>
      <c r="G880" s="99" t="s">
        <v>3454</v>
      </c>
      <c r="H880" s="99"/>
      <c r="I880" s="100" t="s">
        <v>3455</v>
      </c>
      <c r="J880" s="100" t="s">
        <v>3456</v>
      </c>
    </row>
    <row r="881">
      <c r="A881" s="98"/>
      <c r="B881" s="98" t="s">
        <v>3422</v>
      </c>
      <c r="C881" s="99" t="s">
        <v>3457</v>
      </c>
      <c r="D881" s="99" t="s">
        <v>3457</v>
      </c>
      <c r="E881" s="100" t="s">
        <v>3458</v>
      </c>
      <c r="F881" s="101">
        <f t="shared" si="40"/>
        <v>2</v>
      </c>
      <c r="G881" s="99" t="s">
        <v>3459</v>
      </c>
      <c r="H881" s="99"/>
      <c r="I881" s="100" t="s">
        <v>3460</v>
      </c>
      <c r="J881" s="100" t="s">
        <v>3461</v>
      </c>
    </row>
    <row r="882">
      <c r="A882" s="98"/>
      <c r="B882" s="98" t="s">
        <v>3422</v>
      </c>
      <c r="C882" s="99" t="s">
        <v>3462</v>
      </c>
      <c r="D882" s="99" t="s">
        <v>26</v>
      </c>
      <c r="E882" s="100" t="s">
        <v>3463</v>
      </c>
      <c r="F882" s="101">
        <f t="shared" si="40"/>
        <v>1</v>
      </c>
      <c r="G882" s="99" t="s">
        <v>3464</v>
      </c>
      <c r="H882" s="102"/>
      <c r="I882" s="100" t="s">
        <v>3465</v>
      </c>
      <c r="J882" s="100"/>
    </row>
    <row r="883">
      <c r="A883" s="98"/>
      <c r="B883" s="98" t="s">
        <v>3422</v>
      </c>
      <c r="C883" s="99" t="s">
        <v>3466</v>
      </c>
      <c r="D883" s="99" t="s">
        <v>483</v>
      </c>
      <c r="E883" s="100" t="s">
        <v>3467</v>
      </c>
      <c r="F883" s="101">
        <f t="shared" si="40"/>
        <v>1</v>
      </c>
      <c r="G883" s="99" t="s">
        <v>3468</v>
      </c>
      <c r="H883" s="99" t="s">
        <v>3469</v>
      </c>
      <c r="I883" s="100" t="s">
        <v>3470</v>
      </c>
      <c r="J883" s="100"/>
    </row>
    <row r="884">
      <c r="A884" s="98"/>
      <c r="B884" s="98" t="s">
        <v>3422</v>
      </c>
      <c r="C884" s="99" t="s">
        <v>3471</v>
      </c>
      <c r="D884" s="99" t="s">
        <v>483</v>
      </c>
      <c r="E884" s="100" t="s">
        <v>3472</v>
      </c>
      <c r="F884" s="101">
        <f t="shared" si="40"/>
        <v>1</v>
      </c>
      <c r="G884" s="99" t="s">
        <v>3473</v>
      </c>
      <c r="H884" s="99" t="s">
        <v>3474</v>
      </c>
      <c r="I884" s="100" t="s">
        <v>3475</v>
      </c>
      <c r="J884" s="100"/>
    </row>
    <row r="885">
      <c r="A885" s="98"/>
      <c r="B885" s="98" t="s">
        <v>3422</v>
      </c>
      <c r="C885" s="99" t="s">
        <v>3476</v>
      </c>
      <c r="D885" s="99" t="s">
        <v>483</v>
      </c>
      <c r="E885" s="100" t="s">
        <v>3477</v>
      </c>
      <c r="F885" s="101">
        <f t="shared" si="40"/>
        <v>1</v>
      </c>
      <c r="G885" s="99" t="s">
        <v>3478</v>
      </c>
      <c r="H885" s="99" t="s">
        <v>3479</v>
      </c>
      <c r="I885" s="100" t="s">
        <v>3480</v>
      </c>
      <c r="J885" s="100"/>
    </row>
    <row r="886">
      <c r="A886" s="98"/>
      <c r="B886" s="98" t="s">
        <v>3422</v>
      </c>
      <c r="C886" s="99" t="s">
        <v>3481</v>
      </c>
      <c r="D886" s="99" t="s">
        <v>3481</v>
      </c>
      <c r="E886" s="100" t="s">
        <v>3482</v>
      </c>
      <c r="F886" s="101">
        <f t="shared" si="40"/>
        <v>2</v>
      </c>
      <c r="G886" s="99" t="s">
        <v>3483</v>
      </c>
      <c r="H886" s="99"/>
      <c r="I886" s="100" t="s">
        <v>3484</v>
      </c>
      <c r="J886" s="100" t="s">
        <v>3485</v>
      </c>
    </row>
    <row r="887">
      <c r="A887" s="98"/>
      <c r="B887" s="98" t="s">
        <v>3422</v>
      </c>
      <c r="C887" s="99" t="s">
        <v>3486</v>
      </c>
      <c r="D887" s="99" t="s">
        <v>40</v>
      </c>
      <c r="E887" s="100" t="s">
        <v>3487</v>
      </c>
      <c r="F887" s="101">
        <f t="shared" si="40"/>
        <v>1</v>
      </c>
      <c r="G887" s="99" t="s">
        <v>3488</v>
      </c>
      <c r="H887" s="99" t="s">
        <v>3489</v>
      </c>
      <c r="I887" s="100" t="s">
        <v>3490</v>
      </c>
      <c r="J887" s="100"/>
    </row>
    <row r="888">
      <c r="A888" s="98"/>
      <c r="B888" s="98" t="s">
        <v>3422</v>
      </c>
      <c r="C888" s="99" t="s">
        <v>3491</v>
      </c>
      <c r="D888" s="99" t="s">
        <v>40</v>
      </c>
      <c r="E888" s="100" t="s">
        <v>3492</v>
      </c>
      <c r="F888" s="101">
        <f t="shared" si="40"/>
        <v>1</v>
      </c>
      <c r="G888" s="99" t="s">
        <v>3493</v>
      </c>
      <c r="H888" s="99" t="s">
        <v>3489</v>
      </c>
      <c r="I888" s="100" t="s">
        <v>3494</v>
      </c>
      <c r="J888" s="100"/>
    </row>
    <row r="889">
      <c r="A889" s="98"/>
      <c r="B889" s="98" t="s">
        <v>3422</v>
      </c>
      <c r="C889" s="99" t="s">
        <v>3495</v>
      </c>
      <c r="D889" s="99" t="s">
        <v>40</v>
      </c>
      <c r="E889" s="100" t="s">
        <v>3496</v>
      </c>
      <c r="F889" s="101">
        <f t="shared" si="40"/>
        <v>1</v>
      </c>
      <c r="G889" s="99" t="s">
        <v>3497</v>
      </c>
      <c r="H889" s="99" t="s">
        <v>3489</v>
      </c>
      <c r="I889" s="100" t="s">
        <v>3498</v>
      </c>
      <c r="J889" s="100"/>
    </row>
    <row r="890">
      <c r="A890" s="98"/>
      <c r="B890" s="98" t="s">
        <v>3422</v>
      </c>
      <c r="C890" s="99" t="s">
        <v>3499</v>
      </c>
      <c r="D890" s="99" t="s">
        <v>40</v>
      </c>
      <c r="E890" s="100" t="s">
        <v>3500</v>
      </c>
      <c r="F890" s="101">
        <f t="shared" si="40"/>
        <v>1</v>
      </c>
      <c r="G890" s="99" t="s">
        <v>3501</v>
      </c>
      <c r="H890" s="99" t="s">
        <v>3489</v>
      </c>
      <c r="I890" s="100" t="s">
        <v>3502</v>
      </c>
      <c r="J890" s="100"/>
    </row>
    <row r="891">
      <c r="A891" s="98"/>
      <c r="B891" s="98" t="s">
        <v>3422</v>
      </c>
      <c r="C891" s="99" t="s">
        <v>3503</v>
      </c>
      <c r="D891" s="99" t="s">
        <v>40</v>
      </c>
      <c r="E891" s="100" t="s">
        <v>3504</v>
      </c>
      <c r="F891" s="101">
        <f t="shared" si="40"/>
        <v>1</v>
      </c>
      <c r="G891" s="99" t="s">
        <v>3505</v>
      </c>
      <c r="H891" s="99" t="s">
        <v>3489</v>
      </c>
      <c r="I891" s="100" t="s">
        <v>3506</v>
      </c>
      <c r="J891" s="100"/>
    </row>
    <row r="892">
      <c r="A892" s="98"/>
      <c r="B892" s="98" t="s">
        <v>3422</v>
      </c>
      <c r="C892" s="99" t="s">
        <v>3507</v>
      </c>
      <c r="D892" s="99" t="s">
        <v>40</v>
      </c>
      <c r="E892" s="100" t="s">
        <v>3508</v>
      </c>
      <c r="F892" s="101">
        <f t="shared" si="40"/>
        <v>1</v>
      </c>
      <c r="G892" s="99" t="s">
        <v>3509</v>
      </c>
      <c r="H892" s="99" t="s">
        <v>3489</v>
      </c>
      <c r="I892" s="100" t="s">
        <v>3510</v>
      </c>
      <c r="J892" s="100"/>
    </row>
    <row r="893">
      <c r="A893" s="98"/>
      <c r="B893" s="98" t="s">
        <v>3422</v>
      </c>
      <c r="C893" s="99" t="s">
        <v>3511</v>
      </c>
      <c r="D893" s="99" t="s">
        <v>40</v>
      </c>
      <c r="E893" s="100" t="s">
        <v>3512</v>
      </c>
      <c r="F893" s="101">
        <f t="shared" si="40"/>
        <v>1</v>
      </c>
      <c r="G893" s="99" t="s">
        <v>3513</v>
      </c>
      <c r="H893" s="99" t="s">
        <v>3489</v>
      </c>
      <c r="I893" s="100" t="s">
        <v>3514</v>
      </c>
      <c r="J893" s="100"/>
    </row>
    <row r="894">
      <c r="A894" s="98"/>
      <c r="B894" s="98" t="s">
        <v>3422</v>
      </c>
      <c r="C894" s="99" t="s">
        <v>3515</v>
      </c>
      <c r="D894" s="99" t="s">
        <v>40</v>
      </c>
      <c r="E894" s="100" t="s">
        <v>2567</v>
      </c>
      <c r="F894" s="101">
        <f t="shared" si="40"/>
        <v>1</v>
      </c>
      <c r="G894" s="99" t="s">
        <v>3516</v>
      </c>
      <c r="H894" s="99" t="s">
        <v>3489</v>
      </c>
      <c r="I894" s="100" t="s">
        <v>3517</v>
      </c>
      <c r="J894" s="100"/>
    </row>
    <row r="895">
      <c r="A895" s="98"/>
      <c r="B895" s="98" t="s">
        <v>3422</v>
      </c>
      <c r="C895" s="99" t="s">
        <v>3518</v>
      </c>
      <c r="D895" s="99" t="s">
        <v>16</v>
      </c>
      <c r="E895" s="100" t="s">
        <v>2572</v>
      </c>
      <c r="F895" s="101">
        <f t="shared" si="40"/>
        <v>1</v>
      </c>
      <c r="G895" s="99" t="s">
        <v>3519</v>
      </c>
      <c r="H895" s="99" t="s">
        <v>3489</v>
      </c>
      <c r="I895" s="100" t="s">
        <v>3520</v>
      </c>
      <c r="J895" s="100"/>
    </row>
    <row r="896">
      <c r="A896" s="98"/>
      <c r="B896" s="98" t="s">
        <v>3422</v>
      </c>
      <c r="C896" s="99" t="s">
        <v>3521</v>
      </c>
      <c r="D896" s="99" t="s">
        <v>26</v>
      </c>
      <c r="E896" s="100" t="s">
        <v>3522</v>
      </c>
      <c r="F896" s="101">
        <f t="shared" si="40"/>
        <v>2</v>
      </c>
      <c r="G896" s="99" t="s">
        <v>3523</v>
      </c>
      <c r="H896" s="99"/>
      <c r="I896" s="100" t="s">
        <v>3524</v>
      </c>
      <c r="J896" s="103" t="s">
        <v>3525</v>
      </c>
    </row>
    <row r="897">
      <c r="A897" s="98"/>
      <c r="B897" s="98" t="s">
        <v>3422</v>
      </c>
      <c r="C897" s="99" t="s">
        <v>3526</v>
      </c>
      <c r="D897" s="99" t="s">
        <v>145</v>
      </c>
      <c r="E897" s="100" t="s">
        <v>3527</v>
      </c>
      <c r="F897" s="101">
        <f t="shared" si="40"/>
        <v>2</v>
      </c>
      <c r="G897" s="99" t="s">
        <v>3528</v>
      </c>
      <c r="H897" s="99"/>
      <c r="I897" s="100" t="s">
        <v>3529</v>
      </c>
      <c r="J897" s="103" t="s">
        <v>3530</v>
      </c>
    </row>
    <row r="898">
      <c r="A898" s="98"/>
      <c r="B898" s="98" t="s">
        <v>3422</v>
      </c>
      <c r="C898" s="99" t="s">
        <v>3531</v>
      </c>
      <c r="D898" s="99" t="s">
        <v>40</v>
      </c>
      <c r="E898" s="100" t="s">
        <v>3532</v>
      </c>
      <c r="F898" s="101">
        <f t="shared" si="40"/>
        <v>2</v>
      </c>
      <c r="G898" s="99" t="s">
        <v>3533</v>
      </c>
      <c r="H898" s="99"/>
      <c r="I898" s="100" t="s">
        <v>3534</v>
      </c>
      <c r="J898" s="103" t="s">
        <v>3535</v>
      </c>
    </row>
    <row r="899">
      <c r="A899" s="98"/>
      <c r="B899" s="98" t="s">
        <v>3422</v>
      </c>
      <c r="C899" s="99" t="s">
        <v>3536</v>
      </c>
      <c r="D899" s="99" t="s">
        <v>3536</v>
      </c>
      <c r="E899" s="100" t="s">
        <v>3537</v>
      </c>
      <c r="F899" s="101">
        <f t="shared" si="40"/>
        <v>2</v>
      </c>
      <c r="G899" s="99" t="s">
        <v>3538</v>
      </c>
      <c r="H899" s="99"/>
      <c r="I899" s="100" t="s">
        <v>3539</v>
      </c>
      <c r="J899" s="103" t="s">
        <v>3540</v>
      </c>
    </row>
    <row r="900">
      <c r="A900" s="98"/>
      <c r="B900" s="98" t="s">
        <v>3422</v>
      </c>
      <c r="C900" s="99" t="s">
        <v>3541</v>
      </c>
      <c r="D900" s="99" t="s">
        <v>16</v>
      </c>
      <c r="E900" s="100" t="s">
        <v>3542</v>
      </c>
      <c r="F900" s="101">
        <f t="shared" si="40"/>
        <v>2</v>
      </c>
      <c r="G900" s="99" t="s">
        <v>3543</v>
      </c>
      <c r="H900" s="99"/>
      <c r="I900" s="100" t="s">
        <v>3544</v>
      </c>
      <c r="J900" s="103" t="s">
        <v>3545</v>
      </c>
    </row>
    <row r="901">
      <c r="A901" s="98"/>
      <c r="B901" s="98" t="s">
        <v>3422</v>
      </c>
      <c r="C901" s="99" t="s">
        <v>3546</v>
      </c>
      <c r="D901" s="99" t="s">
        <v>3546</v>
      </c>
      <c r="E901" s="100" t="s">
        <v>3547</v>
      </c>
      <c r="F901" s="101">
        <f t="shared" si="40"/>
        <v>2</v>
      </c>
      <c r="G901" s="99" t="s">
        <v>3548</v>
      </c>
      <c r="H901" s="99"/>
      <c r="I901" s="100" t="s">
        <v>3549</v>
      </c>
      <c r="J901" s="103" t="s">
        <v>3550</v>
      </c>
    </row>
    <row r="902">
      <c r="A902" s="33"/>
      <c r="B902" s="33"/>
      <c r="C902" s="12"/>
      <c r="D902" s="12"/>
      <c r="E902" s="15"/>
      <c r="F902" s="14"/>
      <c r="G902" s="12"/>
      <c r="H902" s="12"/>
      <c r="I902" s="40"/>
      <c r="J902" s="15"/>
    </row>
    <row r="903">
      <c r="A903" s="98" t="s">
        <v>3421</v>
      </c>
      <c r="B903" s="104" t="s">
        <v>1150</v>
      </c>
      <c r="C903" s="99" t="s">
        <v>3551</v>
      </c>
      <c r="D903" s="99" t="s">
        <v>40</v>
      </c>
      <c r="E903" s="100" t="s">
        <v>2740</v>
      </c>
      <c r="F903" s="101">
        <f t="shared" ref="F903:F923" si="41">counta(I903:J903)</f>
        <v>1</v>
      </c>
      <c r="G903" s="99" t="s">
        <v>3552</v>
      </c>
      <c r="H903" s="99"/>
      <c r="I903" s="105"/>
      <c r="J903" s="100" t="s">
        <v>2742</v>
      </c>
    </row>
    <row r="904">
      <c r="A904" s="102"/>
      <c r="B904" s="104" t="s">
        <v>1150</v>
      </c>
      <c r="C904" s="99" t="s">
        <v>3553</v>
      </c>
      <c r="D904" s="99" t="s">
        <v>3553</v>
      </c>
      <c r="E904" s="100" t="s">
        <v>3554</v>
      </c>
      <c r="F904" s="101">
        <f t="shared" si="41"/>
        <v>1</v>
      </c>
      <c r="G904" s="99" t="s">
        <v>3555</v>
      </c>
      <c r="H904" s="99"/>
      <c r="I904" s="105"/>
      <c r="J904" s="100" t="s">
        <v>3556</v>
      </c>
    </row>
    <row r="905">
      <c r="A905" s="98"/>
      <c r="B905" s="104" t="s">
        <v>1150</v>
      </c>
      <c r="C905" s="99" t="s">
        <v>3557</v>
      </c>
      <c r="D905" s="99" t="s">
        <v>26</v>
      </c>
      <c r="E905" s="106" t="s">
        <v>3558</v>
      </c>
      <c r="F905" s="101">
        <f t="shared" si="41"/>
        <v>2</v>
      </c>
      <c r="G905" s="99" t="s">
        <v>3559</v>
      </c>
      <c r="H905" s="99"/>
      <c r="I905" s="107" t="s">
        <v>3560</v>
      </c>
      <c r="J905" s="100" t="s">
        <v>2747</v>
      </c>
    </row>
    <row r="906">
      <c r="A906" s="98"/>
      <c r="B906" s="104" t="s">
        <v>1150</v>
      </c>
      <c r="C906" s="99" t="s">
        <v>3561</v>
      </c>
      <c r="D906" s="99" t="s">
        <v>145</v>
      </c>
      <c r="E906" s="106" t="s">
        <v>3562</v>
      </c>
      <c r="F906" s="101">
        <f t="shared" si="41"/>
        <v>2</v>
      </c>
      <c r="G906" s="99" t="s">
        <v>3563</v>
      </c>
      <c r="H906" s="99"/>
      <c r="I906" s="107" t="s">
        <v>3564</v>
      </c>
      <c r="J906" s="100" t="s">
        <v>2752</v>
      </c>
    </row>
    <row r="907">
      <c r="A907" s="98"/>
      <c r="B907" s="104" t="s">
        <v>1150</v>
      </c>
      <c r="C907" s="99" t="s">
        <v>3565</v>
      </c>
      <c r="D907" s="99" t="s">
        <v>1168</v>
      </c>
      <c r="E907" s="108" t="s">
        <v>3566</v>
      </c>
      <c r="F907" s="101">
        <f t="shared" si="41"/>
        <v>2</v>
      </c>
      <c r="G907" s="99" t="s">
        <v>3567</v>
      </c>
      <c r="H907" s="99"/>
      <c r="I907" s="107" t="s">
        <v>3568</v>
      </c>
      <c r="J907" s="100" t="s">
        <v>2757</v>
      </c>
    </row>
    <row r="908">
      <c r="A908" s="98"/>
      <c r="B908" s="104" t="s">
        <v>1150</v>
      </c>
      <c r="C908" s="99" t="s">
        <v>3569</v>
      </c>
      <c r="D908" s="99" t="s">
        <v>1174</v>
      </c>
      <c r="E908" s="108" t="s">
        <v>3570</v>
      </c>
      <c r="F908" s="101">
        <f t="shared" si="41"/>
        <v>2</v>
      </c>
      <c r="G908" s="99" t="s">
        <v>3571</v>
      </c>
      <c r="H908" s="99"/>
      <c r="I908" s="107" t="s">
        <v>3572</v>
      </c>
      <c r="J908" s="100" t="s">
        <v>2762</v>
      </c>
    </row>
    <row r="909">
      <c r="A909" s="98"/>
      <c r="B909" s="104" t="s">
        <v>1150</v>
      </c>
      <c r="C909" s="99" t="s">
        <v>3573</v>
      </c>
      <c r="D909" s="109" t="s">
        <v>1180</v>
      </c>
      <c r="E909" s="108" t="s">
        <v>3574</v>
      </c>
      <c r="F909" s="101">
        <f t="shared" si="41"/>
        <v>2</v>
      </c>
      <c r="G909" s="99" t="s">
        <v>3575</v>
      </c>
      <c r="H909" s="99"/>
      <c r="I909" s="107" t="s">
        <v>3576</v>
      </c>
      <c r="J909" s="100" t="s">
        <v>2767</v>
      </c>
    </row>
    <row r="910">
      <c r="A910" s="98"/>
      <c r="B910" s="104" t="s">
        <v>1150</v>
      </c>
      <c r="C910" s="99" t="s">
        <v>3577</v>
      </c>
      <c r="D910" s="109" t="s">
        <v>1186</v>
      </c>
      <c r="E910" s="108" t="s">
        <v>3578</v>
      </c>
      <c r="F910" s="101">
        <f t="shared" si="41"/>
        <v>2</v>
      </c>
      <c r="G910" s="99" t="s">
        <v>3579</v>
      </c>
      <c r="H910" s="99"/>
      <c r="I910" s="107" t="s">
        <v>3580</v>
      </c>
      <c r="J910" s="100" t="s">
        <v>2772</v>
      </c>
    </row>
    <row r="911">
      <c r="A911" s="98"/>
      <c r="B911" s="104" t="s">
        <v>1150</v>
      </c>
      <c r="C911" s="99" t="s">
        <v>3581</v>
      </c>
      <c r="D911" s="109" t="s">
        <v>1192</v>
      </c>
      <c r="E911" s="108" t="s">
        <v>3582</v>
      </c>
      <c r="F911" s="101">
        <f t="shared" si="41"/>
        <v>2</v>
      </c>
      <c r="G911" s="99" t="s">
        <v>3583</v>
      </c>
      <c r="H911" s="99"/>
      <c r="I911" s="107" t="s">
        <v>3584</v>
      </c>
      <c r="J911" s="100" t="s">
        <v>2777</v>
      </c>
    </row>
    <row r="912">
      <c r="A912" s="98"/>
      <c r="B912" s="104" t="s">
        <v>1150</v>
      </c>
      <c r="C912" s="99" t="s">
        <v>3585</v>
      </c>
      <c r="D912" s="109" t="s">
        <v>1198</v>
      </c>
      <c r="E912" s="108" t="s">
        <v>3586</v>
      </c>
      <c r="F912" s="101">
        <f t="shared" si="41"/>
        <v>2</v>
      </c>
      <c r="G912" s="99" t="s">
        <v>3587</v>
      </c>
      <c r="H912" s="99"/>
      <c r="I912" s="107" t="s">
        <v>3588</v>
      </c>
      <c r="J912" s="100" t="s">
        <v>2782</v>
      </c>
    </row>
    <row r="913">
      <c r="A913" s="98"/>
      <c r="B913" s="104" t="s">
        <v>1150</v>
      </c>
      <c r="C913" s="99" t="s">
        <v>3589</v>
      </c>
      <c r="D913" s="109" t="s">
        <v>1204</v>
      </c>
      <c r="E913" s="108" t="s">
        <v>3590</v>
      </c>
      <c r="F913" s="101">
        <f t="shared" si="41"/>
        <v>2</v>
      </c>
      <c r="G913" s="99" t="s">
        <v>3591</v>
      </c>
      <c r="H913" s="99"/>
      <c r="I913" s="107" t="s">
        <v>3592</v>
      </c>
      <c r="J913" s="100" t="s">
        <v>2787</v>
      </c>
    </row>
    <row r="914">
      <c r="A914" s="98"/>
      <c r="B914" s="104" t="s">
        <v>1150</v>
      </c>
      <c r="C914" s="99" t="s">
        <v>3593</v>
      </c>
      <c r="D914" s="109" t="s">
        <v>1210</v>
      </c>
      <c r="E914" s="108" t="s">
        <v>3594</v>
      </c>
      <c r="F914" s="101">
        <f t="shared" si="41"/>
        <v>2</v>
      </c>
      <c r="G914" s="99" t="s">
        <v>3595</v>
      </c>
      <c r="H914" s="99"/>
      <c r="I914" s="107" t="s">
        <v>3596</v>
      </c>
      <c r="J914" s="100" t="s">
        <v>2792</v>
      </c>
    </row>
    <row r="915">
      <c r="A915" s="98"/>
      <c r="B915" s="104" t="s">
        <v>1150</v>
      </c>
      <c r="C915" s="99" t="s">
        <v>3597</v>
      </c>
      <c r="D915" s="109" t="s">
        <v>1216</v>
      </c>
      <c r="E915" s="110" t="s">
        <v>3598</v>
      </c>
      <c r="F915" s="101">
        <f t="shared" si="41"/>
        <v>2</v>
      </c>
      <c r="G915" s="99" t="s">
        <v>3599</v>
      </c>
      <c r="H915" s="99"/>
      <c r="I915" s="111" t="s">
        <v>3600</v>
      </c>
      <c r="J915" s="100" t="s">
        <v>2797</v>
      </c>
    </row>
    <row r="916">
      <c r="A916" s="98"/>
      <c r="B916" s="104" t="s">
        <v>1150</v>
      </c>
      <c r="C916" s="99" t="s">
        <v>3601</v>
      </c>
      <c r="D916" s="99" t="s">
        <v>40</v>
      </c>
      <c r="E916" s="108" t="s">
        <v>3602</v>
      </c>
      <c r="F916" s="101">
        <f t="shared" si="41"/>
        <v>2</v>
      </c>
      <c r="G916" s="99" t="s">
        <v>3603</v>
      </c>
      <c r="H916" s="99"/>
      <c r="I916" s="107" t="s">
        <v>3604</v>
      </c>
      <c r="J916" s="100" t="s">
        <v>2802</v>
      </c>
    </row>
    <row r="917">
      <c r="A917" s="98"/>
      <c r="B917" s="104" t="s">
        <v>1150</v>
      </c>
      <c r="C917" s="99" t="s">
        <v>3605</v>
      </c>
      <c r="D917" s="99" t="s">
        <v>40</v>
      </c>
      <c r="E917" s="108" t="s">
        <v>3606</v>
      </c>
      <c r="F917" s="101">
        <f t="shared" si="41"/>
        <v>2</v>
      </c>
      <c r="G917" s="99" t="s">
        <v>3607</v>
      </c>
      <c r="H917" s="99"/>
      <c r="I917" s="107" t="s">
        <v>3608</v>
      </c>
      <c r="J917" s="100" t="s">
        <v>2812</v>
      </c>
    </row>
    <row r="918">
      <c r="A918" s="98"/>
      <c r="B918" s="104" t="s">
        <v>1150</v>
      </c>
      <c r="C918" s="99" t="s">
        <v>3609</v>
      </c>
      <c r="D918" s="99" t="s">
        <v>40</v>
      </c>
      <c r="E918" s="108" t="s">
        <v>3610</v>
      </c>
      <c r="F918" s="101">
        <f t="shared" si="41"/>
        <v>2</v>
      </c>
      <c r="G918" s="99" t="s">
        <v>3611</v>
      </c>
      <c r="H918" s="99"/>
      <c r="I918" s="107" t="s">
        <v>3612</v>
      </c>
      <c r="J918" s="100" t="s">
        <v>2817</v>
      </c>
    </row>
    <row r="919">
      <c r="A919" s="98"/>
      <c r="B919" s="104" t="s">
        <v>1150</v>
      </c>
      <c r="C919" s="99" t="s">
        <v>3613</v>
      </c>
      <c r="D919" s="99" t="s">
        <v>40</v>
      </c>
      <c r="E919" s="108" t="s">
        <v>3614</v>
      </c>
      <c r="F919" s="101">
        <f t="shared" si="41"/>
        <v>2</v>
      </c>
      <c r="G919" s="99" t="s">
        <v>3615</v>
      </c>
      <c r="H919" s="99"/>
      <c r="I919" s="107" t="s">
        <v>3616</v>
      </c>
      <c r="J919" s="100" t="s">
        <v>2822</v>
      </c>
    </row>
    <row r="920">
      <c r="A920" s="98"/>
      <c r="B920" s="104" t="s">
        <v>1150</v>
      </c>
      <c r="C920" s="99" t="s">
        <v>3617</v>
      </c>
      <c r="D920" s="99" t="s">
        <v>40</v>
      </c>
      <c r="E920" s="108" t="s">
        <v>3618</v>
      </c>
      <c r="F920" s="101">
        <f t="shared" si="41"/>
        <v>2</v>
      </c>
      <c r="G920" s="99" t="s">
        <v>3619</v>
      </c>
      <c r="H920" s="99"/>
      <c r="I920" s="107" t="s">
        <v>3620</v>
      </c>
      <c r="J920" s="100" t="s">
        <v>2827</v>
      </c>
    </row>
    <row r="921">
      <c r="A921" s="98"/>
      <c r="B921" s="104" t="s">
        <v>1150</v>
      </c>
      <c r="C921" s="99" t="s">
        <v>3621</v>
      </c>
      <c r="D921" s="99" t="s">
        <v>40</v>
      </c>
      <c r="E921" s="112" t="s">
        <v>3622</v>
      </c>
      <c r="F921" s="101">
        <f t="shared" si="41"/>
        <v>1</v>
      </c>
      <c r="G921" s="99" t="s">
        <v>3623</v>
      </c>
      <c r="H921" s="99"/>
      <c r="I921" s="107"/>
      <c r="J921" s="100" t="s">
        <v>2807</v>
      </c>
    </row>
    <row r="922">
      <c r="A922" s="98"/>
      <c r="B922" s="104" t="s">
        <v>1150</v>
      </c>
      <c r="C922" s="99" t="s">
        <v>3624</v>
      </c>
      <c r="D922" s="99" t="s">
        <v>40</v>
      </c>
      <c r="E922" s="108" t="s">
        <v>3625</v>
      </c>
      <c r="F922" s="101">
        <f t="shared" si="41"/>
        <v>1</v>
      </c>
      <c r="G922" s="99" t="s">
        <v>3626</v>
      </c>
      <c r="H922" s="99"/>
      <c r="I922" s="107" t="s">
        <v>3627</v>
      </c>
      <c r="J922" s="105"/>
    </row>
    <row r="923">
      <c r="A923" s="98"/>
      <c r="B923" s="104" t="s">
        <v>1150</v>
      </c>
      <c r="C923" s="113" t="s">
        <v>3628</v>
      </c>
      <c r="D923" s="99" t="s">
        <v>40</v>
      </c>
      <c r="E923" s="100" t="s">
        <v>3629</v>
      </c>
      <c r="F923" s="101">
        <f t="shared" si="41"/>
        <v>1</v>
      </c>
      <c r="G923" s="99" t="s">
        <v>3630</v>
      </c>
      <c r="H923" s="113"/>
      <c r="I923" s="105"/>
      <c r="J923" s="100" t="s">
        <v>2834</v>
      </c>
    </row>
    <row r="924">
      <c r="A924" s="33"/>
      <c r="B924" s="33"/>
      <c r="C924" s="12"/>
      <c r="D924" s="12"/>
      <c r="E924" s="15"/>
      <c r="F924" s="14"/>
      <c r="G924" s="12"/>
      <c r="H924" s="12"/>
      <c r="I924" s="15"/>
      <c r="J924" s="15"/>
    </row>
    <row r="925">
      <c r="A925" s="98" t="s">
        <v>3421</v>
      </c>
      <c r="B925" s="98" t="s">
        <v>795</v>
      </c>
      <c r="C925" s="99" t="s">
        <v>3631</v>
      </c>
      <c r="D925" s="99" t="s">
        <v>40</v>
      </c>
      <c r="E925" s="100" t="s">
        <v>3632</v>
      </c>
      <c r="F925" s="101">
        <f t="shared" ref="F925:F930" si="42">counta(I925:J925)</f>
        <v>2</v>
      </c>
      <c r="G925" s="99" t="s">
        <v>3633</v>
      </c>
      <c r="H925" s="99"/>
      <c r="I925" s="100" t="s">
        <v>3634</v>
      </c>
      <c r="J925" s="100" t="s">
        <v>3635</v>
      </c>
    </row>
    <row r="926">
      <c r="A926" s="98"/>
      <c r="B926" s="98" t="s">
        <v>795</v>
      </c>
      <c r="C926" s="99" t="s">
        <v>3636</v>
      </c>
      <c r="D926" s="99" t="s">
        <v>40</v>
      </c>
      <c r="E926" s="100" t="s">
        <v>3637</v>
      </c>
      <c r="F926" s="101">
        <f t="shared" si="42"/>
        <v>2</v>
      </c>
      <c r="G926" s="99" t="s">
        <v>3638</v>
      </c>
      <c r="H926" s="99"/>
      <c r="I926" s="100" t="s">
        <v>3639</v>
      </c>
      <c r="J926" s="100" t="s">
        <v>3640</v>
      </c>
    </row>
    <row r="927">
      <c r="A927" s="98"/>
      <c r="B927" s="98" t="s">
        <v>795</v>
      </c>
      <c r="C927" s="99" t="s">
        <v>3641</v>
      </c>
      <c r="D927" s="99" t="s">
        <v>40</v>
      </c>
      <c r="E927" s="100" t="s">
        <v>3642</v>
      </c>
      <c r="F927" s="101">
        <f t="shared" si="42"/>
        <v>2</v>
      </c>
      <c r="G927" s="99" t="s">
        <v>3643</v>
      </c>
      <c r="H927" s="99"/>
      <c r="I927" s="100" t="s">
        <v>3644</v>
      </c>
      <c r="J927" s="100" t="s">
        <v>3645</v>
      </c>
    </row>
    <row r="928">
      <c r="A928" s="98"/>
      <c r="B928" s="98" t="s">
        <v>795</v>
      </c>
      <c r="C928" s="113" t="s">
        <v>3646</v>
      </c>
      <c r="D928" s="113" t="s">
        <v>40</v>
      </c>
      <c r="E928" s="100" t="s">
        <v>3647</v>
      </c>
      <c r="F928" s="101">
        <f t="shared" si="42"/>
        <v>2</v>
      </c>
      <c r="G928" s="99" t="s">
        <v>3648</v>
      </c>
      <c r="H928" s="113"/>
      <c r="I928" s="100" t="s">
        <v>3649</v>
      </c>
      <c r="J928" s="100" t="s">
        <v>3650</v>
      </c>
    </row>
    <row r="929">
      <c r="A929" s="98"/>
      <c r="B929" s="98" t="s">
        <v>795</v>
      </c>
      <c r="C929" s="99" t="s">
        <v>3651</v>
      </c>
      <c r="D929" s="99" t="s">
        <v>40</v>
      </c>
      <c r="E929" s="100" t="s">
        <v>3652</v>
      </c>
      <c r="F929" s="101">
        <f t="shared" si="42"/>
        <v>2</v>
      </c>
      <c r="G929" s="99" t="s">
        <v>3653</v>
      </c>
      <c r="H929" s="99"/>
      <c r="I929" s="100" t="s">
        <v>3654</v>
      </c>
      <c r="J929" s="100" t="s">
        <v>3655</v>
      </c>
    </row>
    <row r="930">
      <c r="A930" s="98"/>
      <c r="B930" s="98" t="s">
        <v>795</v>
      </c>
      <c r="C930" s="99" t="s">
        <v>3656</v>
      </c>
      <c r="D930" s="99" t="s">
        <v>40</v>
      </c>
      <c r="E930" s="100" t="s">
        <v>3657</v>
      </c>
      <c r="F930" s="101">
        <f t="shared" si="42"/>
        <v>2</v>
      </c>
      <c r="G930" s="99" t="s">
        <v>3658</v>
      </c>
      <c r="H930" s="99"/>
      <c r="I930" s="100" t="s">
        <v>3659</v>
      </c>
      <c r="J930" s="100" t="s">
        <v>3660</v>
      </c>
    </row>
    <row r="931">
      <c r="A931" s="33"/>
      <c r="B931" s="33"/>
      <c r="C931" s="12"/>
      <c r="D931" s="12"/>
      <c r="E931" s="15"/>
      <c r="F931" s="14"/>
      <c r="G931" s="12" t="s">
        <v>851</v>
      </c>
      <c r="H931" s="12"/>
      <c r="I931" s="88"/>
      <c r="J931" s="88"/>
    </row>
    <row r="932">
      <c r="A932" s="98" t="s">
        <v>3421</v>
      </c>
      <c r="B932" s="98" t="s">
        <v>824</v>
      </c>
      <c r="C932" s="99" t="s">
        <v>3661</v>
      </c>
      <c r="D932" s="99" t="s">
        <v>40</v>
      </c>
      <c r="E932" s="100" t="s">
        <v>3662</v>
      </c>
      <c r="F932" s="101">
        <f t="shared" ref="F932:F953" si="43">counta(I932:J932)</f>
        <v>2</v>
      </c>
      <c r="G932" s="99" t="s">
        <v>3663</v>
      </c>
      <c r="H932" s="99"/>
      <c r="I932" s="100" t="s">
        <v>3664</v>
      </c>
      <c r="J932" s="100" t="s">
        <v>3665</v>
      </c>
    </row>
    <row r="933">
      <c r="A933" s="98"/>
      <c r="B933" s="98" t="s">
        <v>824</v>
      </c>
      <c r="C933" s="99" t="s">
        <v>3666</v>
      </c>
      <c r="D933" s="114" t="s">
        <v>40</v>
      </c>
      <c r="E933" s="100" t="s">
        <v>3667</v>
      </c>
      <c r="F933" s="101">
        <f t="shared" si="43"/>
        <v>2</v>
      </c>
      <c r="G933" s="99" t="s">
        <v>3668</v>
      </c>
      <c r="H933" s="99"/>
      <c r="I933" s="100" t="s">
        <v>3669</v>
      </c>
      <c r="J933" s="100" t="s">
        <v>3670</v>
      </c>
    </row>
    <row r="934">
      <c r="A934" s="98"/>
      <c r="B934" s="98" t="s">
        <v>824</v>
      </c>
      <c r="C934" s="99" t="s">
        <v>3671</v>
      </c>
      <c r="D934" s="114" t="s">
        <v>40</v>
      </c>
      <c r="E934" s="100" t="s">
        <v>3672</v>
      </c>
      <c r="F934" s="101">
        <f t="shared" si="43"/>
        <v>2</v>
      </c>
      <c r="G934" s="99" t="s">
        <v>3673</v>
      </c>
      <c r="H934" s="99"/>
      <c r="I934" s="100" t="s">
        <v>3674</v>
      </c>
      <c r="J934" s="100" t="s">
        <v>3675</v>
      </c>
    </row>
    <row r="935">
      <c r="A935" s="98"/>
      <c r="B935" s="98" t="s">
        <v>824</v>
      </c>
      <c r="C935" s="99" t="s">
        <v>3676</v>
      </c>
      <c r="D935" s="114" t="s">
        <v>40</v>
      </c>
      <c r="E935" s="100" t="s">
        <v>3677</v>
      </c>
      <c r="F935" s="101">
        <f t="shared" si="43"/>
        <v>2</v>
      </c>
      <c r="G935" s="99" t="s">
        <v>3678</v>
      </c>
      <c r="H935" s="99"/>
      <c r="I935" s="100" t="s">
        <v>3679</v>
      </c>
      <c r="J935" s="100" t="s">
        <v>3680</v>
      </c>
    </row>
    <row r="936">
      <c r="A936" s="98"/>
      <c r="B936" s="98" t="s">
        <v>824</v>
      </c>
      <c r="C936" s="99" t="s">
        <v>3681</v>
      </c>
      <c r="D936" s="114" t="s">
        <v>40</v>
      </c>
      <c r="E936" s="100" t="s">
        <v>3682</v>
      </c>
      <c r="F936" s="101">
        <f t="shared" si="43"/>
        <v>2</v>
      </c>
      <c r="G936" s="99" t="s">
        <v>3683</v>
      </c>
      <c r="H936" s="99"/>
      <c r="I936" s="100" t="s">
        <v>3684</v>
      </c>
      <c r="J936" s="100" t="s">
        <v>3685</v>
      </c>
    </row>
    <row r="937">
      <c r="A937" s="98"/>
      <c r="B937" s="98" t="s">
        <v>824</v>
      </c>
      <c r="C937" s="99" t="s">
        <v>3686</v>
      </c>
      <c r="D937" s="114" t="s">
        <v>40</v>
      </c>
      <c r="E937" s="100" t="s">
        <v>3687</v>
      </c>
      <c r="F937" s="101">
        <f t="shared" si="43"/>
        <v>2</v>
      </c>
      <c r="G937" s="99" t="s">
        <v>3688</v>
      </c>
      <c r="H937" s="99"/>
      <c r="I937" s="100" t="s">
        <v>3689</v>
      </c>
      <c r="J937" s="100" t="s">
        <v>3690</v>
      </c>
    </row>
    <row r="938">
      <c r="A938" s="98"/>
      <c r="B938" s="98" t="s">
        <v>824</v>
      </c>
      <c r="C938" s="99" t="s">
        <v>3691</v>
      </c>
      <c r="D938" s="114" t="s">
        <v>40</v>
      </c>
      <c r="E938" s="100" t="s">
        <v>3692</v>
      </c>
      <c r="F938" s="101">
        <f t="shared" si="43"/>
        <v>2</v>
      </c>
      <c r="G938" s="99" t="s">
        <v>3693</v>
      </c>
      <c r="H938" s="99"/>
      <c r="I938" s="100" t="s">
        <v>3694</v>
      </c>
      <c r="J938" s="100" t="s">
        <v>3695</v>
      </c>
    </row>
    <row r="939">
      <c r="A939" s="98"/>
      <c r="B939" s="98" t="s">
        <v>824</v>
      </c>
      <c r="C939" s="99" t="s">
        <v>3696</v>
      </c>
      <c r="D939" s="114" t="s">
        <v>31</v>
      </c>
      <c r="E939" s="100" t="s">
        <v>3697</v>
      </c>
      <c r="F939" s="101">
        <f t="shared" si="43"/>
        <v>2</v>
      </c>
      <c r="G939" s="99" t="s">
        <v>3698</v>
      </c>
      <c r="H939" s="99"/>
      <c r="I939" s="100" t="s">
        <v>3699</v>
      </c>
      <c r="J939" s="100" t="s">
        <v>3700</v>
      </c>
    </row>
    <row r="940">
      <c r="A940" s="98"/>
      <c r="B940" s="98" t="s">
        <v>824</v>
      </c>
      <c r="C940" s="99" t="s">
        <v>3701</v>
      </c>
      <c r="D940" s="114" t="s">
        <v>31</v>
      </c>
      <c r="E940" s="100" t="s">
        <v>3702</v>
      </c>
      <c r="F940" s="101">
        <f t="shared" si="43"/>
        <v>2</v>
      </c>
      <c r="G940" s="99" t="s">
        <v>3703</v>
      </c>
      <c r="H940" s="99"/>
      <c r="I940" s="100" t="s">
        <v>3704</v>
      </c>
      <c r="J940" s="100" t="s">
        <v>3705</v>
      </c>
    </row>
    <row r="941">
      <c r="A941" s="98"/>
      <c r="B941" s="98" t="s">
        <v>824</v>
      </c>
      <c r="C941" s="99" t="s">
        <v>3706</v>
      </c>
      <c r="D941" s="114" t="s">
        <v>31</v>
      </c>
      <c r="E941" s="100" t="s">
        <v>3707</v>
      </c>
      <c r="F941" s="101">
        <f t="shared" si="43"/>
        <v>2</v>
      </c>
      <c r="G941" s="99" t="s">
        <v>3708</v>
      </c>
      <c r="H941" s="99"/>
      <c r="I941" s="100" t="s">
        <v>3709</v>
      </c>
      <c r="J941" s="100" t="s">
        <v>3710</v>
      </c>
    </row>
    <row r="942">
      <c r="A942" s="98"/>
      <c r="B942" s="98" t="s">
        <v>824</v>
      </c>
      <c r="C942" s="99" t="s">
        <v>3711</v>
      </c>
      <c r="D942" s="114" t="s">
        <v>26</v>
      </c>
      <c r="E942" s="100" t="s">
        <v>3712</v>
      </c>
      <c r="F942" s="101">
        <f t="shared" si="43"/>
        <v>1</v>
      </c>
      <c r="G942" s="99" t="s">
        <v>3713</v>
      </c>
      <c r="H942" s="99"/>
      <c r="I942" s="100" t="s">
        <v>3714</v>
      </c>
      <c r="J942" s="115"/>
    </row>
    <row r="943">
      <c r="A943" s="98"/>
      <c r="B943" s="98" t="s">
        <v>824</v>
      </c>
      <c r="C943" s="99" t="s">
        <v>3715</v>
      </c>
      <c r="D943" s="114" t="s">
        <v>145</v>
      </c>
      <c r="E943" s="100" t="s">
        <v>3716</v>
      </c>
      <c r="F943" s="101">
        <f t="shared" si="43"/>
        <v>1</v>
      </c>
      <c r="G943" s="99" t="s">
        <v>3717</v>
      </c>
      <c r="H943" s="99"/>
      <c r="I943" s="100" t="s">
        <v>3718</v>
      </c>
      <c r="J943" s="102"/>
    </row>
    <row r="944">
      <c r="A944" s="98"/>
      <c r="B944" s="98" t="s">
        <v>824</v>
      </c>
      <c r="C944" s="99" t="s">
        <v>3719</v>
      </c>
      <c r="D944" s="114" t="s">
        <v>26</v>
      </c>
      <c r="E944" s="100" t="s">
        <v>3720</v>
      </c>
      <c r="F944" s="101">
        <f t="shared" si="43"/>
        <v>1</v>
      </c>
      <c r="G944" s="99" t="s">
        <v>3721</v>
      </c>
      <c r="H944" s="99"/>
      <c r="I944" s="100" t="s">
        <v>3722</v>
      </c>
      <c r="J944" s="115"/>
    </row>
    <row r="945">
      <c r="A945" s="98"/>
      <c r="B945" s="98" t="s">
        <v>824</v>
      </c>
      <c r="C945" s="99" t="s">
        <v>3723</v>
      </c>
      <c r="D945" s="114" t="s">
        <v>145</v>
      </c>
      <c r="E945" s="100" t="s">
        <v>3724</v>
      </c>
      <c r="F945" s="101">
        <f t="shared" si="43"/>
        <v>1</v>
      </c>
      <c r="G945" s="99" t="s">
        <v>3725</v>
      </c>
      <c r="H945" s="99"/>
      <c r="I945" s="100" t="s">
        <v>3726</v>
      </c>
      <c r="J945" s="115"/>
    </row>
    <row r="946">
      <c r="A946" s="98"/>
      <c r="B946" s="98" t="s">
        <v>824</v>
      </c>
      <c r="C946" s="99" t="s">
        <v>3727</v>
      </c>
      <c r="D946" s="114" t="s">
        <v>26</v>
      </c>
      <c r="E946" s="100" t="s">
        <v>3728</v>
      </c>
      <c r="F946" s="101">
        <f t="shared" si="43"/>
        <v>1</v>
      </c>
      <c r="G946" s="99" t="s">
        <v>3729</v>
      </c>
      <c r="H946" s="99"/>
      <c r="I946" s="100" t="s">
        <v>3730</v>
      </c>
      <c r="J946" s="115"/>
    </row>
    <row r="947">
      <c r="A947" s="98"/>
      <c r="B947" s="98" t="s">
        <v>824</v>
      </c>
      <c r="C947" s="99" t="s">
        <v>3731</v>
      </c>
      <c r="D947" s="114" t="s">
        <v>145</v>
      </c>
      <c r="E947" s="100" t="s">
        <v>3732</v>
      </c>
      <c r="F947" s="101">
        <f t="shared" si="43"/>
        <v>1</v>
      </c>
      <c r="G947" s="99" t="s">
        <v>3733</v>
      </c>
      <c r="H947" s="99"/>
      <c r="I947" s="100" t="s">
        <v>3734</v>
      </c>
      <c r="J947" s="115"/>
    </row>
    <row r="948">
      <c r="A948" s="98"/>
      <c r="B948" s="98" t="s">
        <v>824</v>
      </c>
      <c r="C948" s="99" t="s">
        <v>3735</v>
      </c>
      <c r="D948" s="99" t="s">
        <v>26</v>
      </c>
      <c r="E948" s="100" t="s">
        <v>3736</v>
      </c>
      <c r="F948" s="101">
        <f t="shared" si="43"/>
        <v>1</v>
      </c>
      <c r="G948" s="99" t="s">
        <v>3737</v>
      </c>
      <c r="H948" s="99"/>
      <c r="I948" s="100" t="s">
        <v>3738</v>
      </c>
      <c r="J948" s="115"/>
    </row>
    <row r="949">
      <c r="A949" s="98"/>
      <c r="B949" s="98" t="s">
        <v>824</v>
      </c>
      <c r="C949" s="99" t="s">
        <v>3739</v>
      </c>
      <c r="D949" s="99" t="s">
        <v>145</v>
      </c>
      <c r="E949" s="100" t="s">
        <v>3740</v>
      </c>
      <c r="F949" s="101">
        <f t="shared" si="43"/>
        <v>1</v>
      </c>
      <c r="G949" s="99" t="s">
        <v>3741</v>
      </c>
      <c r="H949" s="99"/>
      <c r="I949" s="100" t="s">
        <v>3742</v>
      </c>
      <c r="J949" s="115"/>
    </row>
    <row r="950">
      <c r="A950" s="98"/>
      <c r="B950" s="98" t="s">
        <v>824</v>
      </c>
      <c r="C950" s="99" t="s">
        <v>3743</v>
      </c>
      <c r="D950" s="99" t="s">
        <v>26</v>
      </c>
      <c r="E950" s="100" t="s">
        <v>3744</v>
      </c>
      <c r="F950" s="101">
        <f t="shared" si="43"/>
        <v>1</v>
      </c>
      <c r="G950" s="99" t="s">
        <v>3745</v>
      </c>
      <c r="H950" s="99"/>
      <c r="I950" s="100" t="s">
        <v>3746</v>
      </c>
      <c r="J950" s="115"/>
    </row>
    <row r="951">
      <c r="A951" s="98"/>
      <c r="B951" s="98" t="s">
        <v>824</v>
      </c>
      <c r="C951" s="99" t="s">
        <v>3747</v>
      </c>
      <c r="D951" s="99" t="s">
        <v>145</v>
      </c>
      <c r="E951" s="100" t="s">
        <v>3748</v>
      </c>
      <c r="F951" s="101">
        <f t="shared" si="43"/>
        <v>1</v>
      </c>
      <c r="G951" s="99" t="s">
        <v>3749</v>
      </c>
      <c r="H951" s="99"/>
      <c r="I951" s="100" t="s">
        <v>3750</v>
      </c>
      <c r="J951" s="115"/>
    </row>
    <row r="952">
      <c r="A952" s="98"/>
      <c r="B952" s="98" t="s">
        <v>824</v>
      </c>
      <c r="C952" s="99" t="s">
        <v>3751</v>
      </c>
      <c r="D952" s="99" t="s">
        <v>26</v>
      </c>
      <c r="E952" s="100" t="s">
        <v>3752</v>
      </c>
      <c r="F952" s="101">
        <f t="shared" si="43"/>
        <v>1</v>
      </c>
      <c r="G952" s="99" t="s">
        <v>3753</v>
      </c>
      <c r="H952" s="99"/>
      <c r="I952" s="100" t="s">
        <v>3754</v>
      </c>
      <c r="J952" s="115"/>
    </row>
    <row r="953">
      <c r="A953" s="98"/>
      <c r="B953" s="98" t="s">
        <v>824</v>
      </c>
      <c r="C953" s="99" t="s">
        <v>3755</v>
      </c>
      <c r="D953" s="99" t="s">
        <v>145</v>
      </c>
      <c r="E953" s="100" t="s">
        <v>3756</v>
      </c>
      <c r="F953" s="101">
        <f t="shared" si="43"/>
        <v>1</v>
      </c>
      <c r="G953" s="99" t="s">
        <v>3757</v>
      </c>
      <c r="H953" s="99"/>
      <c r="I953" s="100" t="s">
        <v>3758</v>
      </c>
      <c r="J953" s="115"/>
    </row>
    <row r="954">
      <c r="A954" s="33"/>
      <c r="B954" s="33"/>
      <c r="C954" s="12"/>
      <c r="D954" s="12"/>
      <c r="E954" s="15"/>
      <c r="F954" s="14"/>
      <c r="G954" s="12" t="s">
        <v>851</v>
      </c>
      <c r="H954" s="12"/>
      <c r="I954" s="88"/>
      <c r="J954" s="88"/>
    </row>
    <row r="955">
      <c r="A955" s="98" t="s">
        <v>3421</v>
      </c>
      <c r="B955" s="98" t="s">
        <v>3759</v>
      </c>
      <c r="C955" s="99" t="s">
        <v>3760</v>
      </c>
      <c r="D955" s="99" t="s">
        <v>40</v>
      </c>
      <c r="E955" s="100" t="s">
        <v>3761</v>
      </c>
      <c r="F955" s="101">
        <f>counta(I955:J955)</f>
        <v>2</v>
      </c>
      <c r="G955" s="99" t="s">
        <v>3762</v>
      </c>
      <c r="H955" s="99"/>
      <c r="I955" s="100" t="s">
        <v>3763</v>
      </c>
      <c r="J955" s="100" t="s">
        <v>3764</v>
      </c>
    </row>
    <row r="956">
      <c r="A956" s="33"/>
      <c r="B956" s="33"/>
      <c r="C956" s="12"/>
      <c r="D956" s="12"/>
      <c r="E956" s="15"/>
      <c r="F956" s="14"/>
      <c r="G956" s="12" t="s">
        <v>851</v>
      </c>
      <c r="H956" s="12"/>
      <c r="I956" s="88"/>
      <c r="J956" s="88"/>
    </row>
    <row r="957">
      <c r="A957" s="98" t="s">
        <v>3421</v>
      </c>
      <c r="B957" s="98" t="s">
        <v>3765</v>
      </c>
      <c r="C957" s="99" t="s">
        <v>3766</v>
      </c>
      <c r="D957" s="99" t="s">
        <v>40</v>
      </c>
      <c r="E957" s="100" t="s">
        <v>3767</v>
      </c>
      <c r="F957" s="101">
        <f t="shared" ref="F957:F959" si="44">counta(I957:J957)</f>
        <v>2</v>
      </c>
      <c r="G957" s="99" t="s">
        <v>3768</v>
      </c>
      <c r="H957" s="99"/>
      <c r="I957" s="100" t="s">
        <v>3769</v>
      </c>
      <c r="J957" s="100" t="s">
        <v>3770</v>
      </c>
    </row>
    <row r="958">
      <c r="A958" s="98"/>
      <c r="B958" s="98" t="s">
        <v>3765</v>
      </c>
      <c r="C958" s="99" t="s">
        <v>3771</v>
      </c>
      <c r="D958" s="99" t="s">
        <v>40</v>
      </c>
      <c r="E958" s="100" t="s">
        <v>3772</v>
      </c>
      <c r="F958" s="101">
        <f t="shared" si="44"/>
        <v>2</v>
      </c>
      <c r="G958" s="99" t="s">
        <v>3773</v>
      </c>
      <c r="H958" s="99"/>
      <c r="I958" s="100" t="s">
        <v>3774</v>
      </c>
      <c r="J958" s="100" t="s">
        <v>3775</v>
      </c>
    </row>
    <row r="959">
      <c r="A959" s="98"/>
      <c r="B959" s="98" t="s">
        <v>3765</v>
      </c>
      <c r="C959" s="99" t="s">
        <v>3776</v>
      </c>
      <c r="D959" s="99" t="s">
        <v>40</v>
      </c>
      <c r="E959" s="100" t="s">
        <v>3777</v>
      </c>
      <c r="F959" s="101">
        <f t="shared" si="44"/>
        <v>2</v>
      </c>
      <c r="G959" s="99" t="s">
        <v>3778</v>
      </c>
      <c r="H959" s="99"/>
      <c r="I959" s="100" t="s">
        <v>3779</v>
      </c>
      <c r="J959" s="100" t="s">
        <v>3780</v>
      </c>
    </row>
    <row r="960">
      <c r="A960" s="33"/>
      <c r="B960" s="33"/>
      <c r="C960" s="12"/>
      <c r="D960" s="12"/>
      <c r="E960" s="15"/>
      <c r="F960" s="14"/>
      <c r="G960" s="12" t="s">
        <v>851</v>
      </c>
      <c r="H960" s="12"/>
      <c r="I960" s="88"/>
      <c r="J960" s="88"/>
    </row>
    <row r="961">
      <c r="A961" s="98" t="s">
        <v>3421</v>
      </c>
      <c r="B961" s="98" t="s">
        <v>3781</v>
      </c>
      <c r="C961" s="99" t="s">
        <v>3782</v>
      </c>
      <c r="D961" s="99" t="s">
        <v>40</v>
      </c>
      <c r="E961" s="100" t="s">
        <v>3783</v>
      </c>
      <c r="F961" s="101">
        <f t="shared" ref="F961:F963" si="45">counta(I961:J961)</f>
        <v>2</v>
      </c>
      <c r="G961" s="99" t="s">
        <v>3784</v>
      </c>
      <c r="H961" s="99"/>
      <c r="I961" s="100" t="s">
        <v>3785</v>
      </c>
      <c r="J961" s="100" t="s">
        <v>3786</v>
      </c>
    </row>
    <row r="962">
      <c r="A962" s="98"/>
      <c r="B962" s="98" t="s">
        <v>3781</v>
      </c>
      <c r="C962" s="99" t="s">
        <v>3787</v>
      </c>
      <c r="D962" s="99" t="s">
        <v>40</v>
      </c>
      <c r="E962" s="100" t="s">
        <v>3788</v>
      </c>
      <c r="F962" s="101">
        <f t="shared" si="45"/>
        <v>2</v>
      </c>
      <c r="G962" s="99" t="s">
        <v>3789</v>
      </c>
      <c r="H962" s="99"/>
      <c r="I962" s="100" t="s">
        <v>3790</v>
      </c>
      <c r="J962" s="100" t="s">
        <v>3791</v>
      </c>
    </row>
    <row r="963">
      <c r="A963" s="98"/>
      <c r="B963" s="98" t="s">
        <v>3781</v>
      </c>
      <c r="C963" s="99" t="s">
        <v>3792</v>
      </c>
      <c r="D963" s="99" t="s">
        <v>40</v>
      </c>
      <c r="E963" s="100" t="s">
        <v>3793</v>
      </c>
      <c r="F963" s="101">
        <f t="shared" si="45"/>
        <v>2</v>
      </c>
      <c r="G963" s="99" t="s">
        <v>3794</v>
      </c>
      <c r="H963" s="99"/>
      <c r="I963" s="100" t="s">
        <v>3795</v>
      </c>
      <c r="J963" s="100" t="s">
        <v>3796</v>
      </c>
    </row>
    <row r="964">
      <c r="A964" s="33"/>
      <c r="B964" s="33"/>
      <c r="C964" s="12"/>
      <c r="D964" s="12"/>
      <c r="E964" s="15"/>
      <c r="F964" s="14"/>
      <c r="G964" s="12" t="s">
        <v>851</v>
      </c>
      <c r="H964" s="12"/>
      <c r="I964" s="88"/>
      <c r="J964" s="88"/>
    </row>
    <row r="965">
      <c r="A965" s="98" t="s">
        <v>3421</v>
      </c>
      <c r="B965" s="98" t="s">
        <v>3797</v>
      </c>
      <c r="C965" s="99" t="s">
        <v>3798</v>
      </c>
      <c r="D965" s="99" t="s">
        <v>31</v>
      </c>
      <c r="E965" s="100" t="s">
        <v>3799</v>
      </c>
      <c r="F965" s="101">
        <f t="shared" ref="F965:F970" si="46">counta(I965:J965)</f>
        <v>1</v>
      </c>
      <c r="G965" s="99" t="s">
        <v>3800</v>
      </c>
      <c r="H965" s="99"/>
      <c r="I965" s="105"/>
      <c r="J965" s="100" t="s">
        <v>3801</v>
      </c>
    </row>
    <row r="966">
      <c r="A966" s="98"/>
      <c r="B966" s="98" t="s">
        <v>3797</v>
      </c>
      <c r="C966" s="99" t="s">
        <v>3802</v>
      </c>
      <c r="D966" s="99" t="s">
        <v>31</v>
      </c>
      <c r="E966" s="100" t="s">
        <v>3803</v>
      </c>
      <c r="F966" s="101">
        <f t="shared" si="46"/>
        <v>2</v>
      </c>
      <c r="G966" s="99" t="s">
        <v>3804</v>
      </c>
      <c r="H966" s="99"/>
      <c r="I966" s="100" t="s">
        <v>3805</v>
      </c>
      <c r="J966" s="100" t="s">
        <v>3806</v>
      </c>
    </row>
    <row r="967">
      <c r="A967" s="98"/>
      <c r="B967" s="98" t="s">
        <v>3797</v>
      </c>
      <c r="C967" s="99" t="s">
        <v>3807</v>
      </c>
      <c r="D967" s="99" t="s">
        <v>40</v>
      </c>
      <c r="E967" s="100" t="s">
        <v>3808</v>
      </c>
      <c r="F967" s="101">
        <f t="shared" si="46"/>
        <v>1</v>
      </c>
      <c r="G967" s="99" t="s">
        <v>3809</v>
      </c>
      <c r="H967" s="99"/>
      <c r="I967" s="105"/>
      <c r="J967" s="100" t="s">
        <v>3810</v>
      </c>
    </row>
    <row r="968">
      <c r="A968" s="98"/>
      <c r="B968" s="98" t="s">
        <v>3797</v>
      </c>
      <c r="C968" s="99" t="s">
        <v>3811</v>
      </c>
      <c r="D968" s="99" t="s">
        <v>31</v>
      </c>
      <c r="E968" s="100" t="s">
        <v>3812</v>
      </c>
      <c r="F968" s="101">
        <f t="shared" si="46"/>
        <v>2</v>
      </c>
      <c r="G968" s="99" t="s">
        <v>3813</v>
      </c>
      <c r="H968" s="99"/>
      <c r="I968" s="100" t="s">
        <v>3814</v>
      </c>
      <c r="J968" s="100" t="s">
        <v>3815</v>
      </c>
    </row>
    <row r="969">
      <c r="A969" s="98"/>
      <c r="B969" s="98" t="s">
        <v>3797</v>
      </c>
      <c r="C969" s="99" t="s">
        <v>3816</v>
      </c>
      <c r="D969" s="99" t="s">
        <v>40</v>
      </c>
      <c r="E969" s="100" t="s">
        <v>3817</v>
      </c>
      <c r="F969" s="101">
        <f t="shared" si="46"/>
        <v>2</v>
      </c>
      <c r="G969" s="99" t="s">
        <v>3818</v>
      </c>
      <c r="H969" s="99"/>
      <c r="I969" s="100" t="s">
        <v>3819</v>
      </c>
      <c r="J969" s="100" t="s">
        <v>3820</v>
      </c>
    </row>
    <row r="970">
      <c r="A970" s="98"/>
      <c r="B970" s="98" t="s">
        <v>3797</v>
      </c>
      <c r="C970" s="99" t="s">
        <v>3821</v>
      </c>
      <c r="D970" s="99" t="s">
        <v>40</v>
      </c>
      <c r="E970" s="100" t="s">
        <v>3822</v>
      </c>
      <c r="F970" s="101">
        <f t="shared" si="46"/>
        <v>2</v>
      </c>
      <c r="G970" s="99" t="s">
        <v>3823</v>
      </c>
      <c r="H970" s="99"/>
      <c r="I970" s="100" t="s">
        <v>3824</v>
      </c>
      <c r="J970" s="100" t="s">
        <v>3825</v>
      </c>
    </row>
    <row r="971">
      <c r="A971" s="33"/>
      <c r="B971" s="33"/>
      <c r="C971" s="12"/>
      <c r="D971" s="12"/>
      <c r="E971" s="15"/>
      <c r="F971" s="14"/>
      <c r="G971" s="12" t="s">
        <v>851</v>
      </c>
      <c r="H971" s="12"/>
      <c r="I971" s="88"/>
      <c r="J971" s="88"/>
    </row>
    <row r="972">
      <c r="A972" s="98" t="s">
        <v>3421</v>
      </c>
      <c r="B972" s="98" t="s">
        <v>3826</v>
      </c>
      <c r="C972" s="99" t="s">
        <v>3827</v>
      </c>
      <c r="D972" s="99" t="s">
        <v>40</v>
      </c>
      <c r="E972" s="100" t="s">
        <v>3828</v>
      </c>
      <c r="F972" s="101">
        <f t="shared" ref="F972:F984" si="47">counta(I972:J972)</f>
        <v>1</v>
      </c>
      <c r="G972" s="99" t="s">
        <v>3829</v>
      </c>
      <c r="H972" s="99"/>
      <c r="I972" s="105"/>
      <c r="J972" s="100" t="s">
        <v>3830</v>
      </c>
    </row>
    <row r="973">
      <c r="A973" s="98"/>
      <c r="B973" s="98" t="s">
        <v>3826</v>
      </c>
      <c r="C973" s="99" t="s">
        <v>3831</v>
      </c>
      <c r="D973" s="99" t="s">
        <v>40</v>
      </c>
      <c r="E973" s="100" t="s">
        <v>3832</v>
      </c>
      <c r="F973" s="101">
        <f t="shared" si="47"/>
        <v>1</v>
      </c>
      <c r="G973" s="99" t="s">
        <v>3833</v>
      </c>
      <c r="H973" s="99"/>
      <c r="I973" s="105"/>
      <c r="J973" s="100" t="s">
        <v>3834</v>
      </c>
    </row>
    <row r="974">
      <c r="A974" s="98"/>
      <c r="B974" s="98" t="s">
        <v>3826</v>
      </c>
      <c r="C974" s="99" t="s">
        <v>3835</v>
      </c>
      <c r="D974" s="99" t="s">
        <v>26</v>
      </c>
      <c r="E974" s="100" t="s">
        <v>3836</v>
      </c>
      <c r="F974" s="101">
        <f t="shared" si="47"/>
        <v>1</v>
      </c>
      <c r="G974" s="99" t="s">
        <v>3837</v>
      </c>
      <c r="H974" s="99"/>
      <c r="I974" s="105"/>
      <c r="J974" s="100" t="s">
        <v>3838</v>
      </c>
    </row>
    <row r="975">
      <c r="A975" s="98"/>
      <c r="B975" s="98" t="s">
        <v>3826</v>
      </c>
      <c r="C975" s="99" t="s">
        <v>3839</v>
      </c>
      <c r="D975" s="99" t="s">
        <v>26</v>
      </c>
      <c r="E975" s="100" t="s">
        <v>3840</v>
      </c>
      <c r="F975" s="101">
        <f t="shared" si="47"/>
        <v>1</v>
      </c>
      <c r="G975" s="99" t="s">
        <v>3841</v>
      </c>
      <c r="H975" s="99"/>
      <c r="I975" s="105"/>
      <c r="J975" s="100" t="s">
        <v>3842</v>
      </c>
    </row>
    <row r="976">
      <c r="A976" s="98"/>
      <c r="B976" s="98" t="s">
        <v>3826</v>
      </c>
      <c r="C976" s="99" t="s">
        <v>3843</v>
      </c>
      <c r="D976" s="99" t="s">
        <v>40</v>
      </c>
      <c r="E976" s="100" t="s">
        <v>3844</v>
      </c>
      <c r="F976" s="101">
        <f t="shared" si="47"/>
        <v>1</v>
      </c>
      <c r="G976" s="99" t="s">
        <v>3845</v>
      </c>
      <c r="H976" s="99"/>
      <c r="I976" s="105"/>
      <c r="J976" s="100" t="s">
        <v>3846</v>
      </c>
    </row>
    <row r="977">
      <c r="A977" s="98"/>
      <c r="B977" s="98" t="s">
        <v>3826</v>
      </c>
      <c r="C977" s="99" t="s">
        <v>3847</v>
      </c>
      <c r="D977" s="99" t="s">
        <v>26</v>
      </c>
      <c r="E977" s="100" t="s">
        <v>3848</v>
      </c>
      <c r="F977" s="101">
        <f t="shared" si="47"/>
        <v>1</v>
      </c>
      <c r="G977" s="99" t="s">
        <v>3849</v>
      </c>
      <c r="H977" s="99"/>
      <c r="I977" s="105"/>
      <c r="J977" s="100" t="s">
        <v>3850</v>
      </c>
    </row>
    <row r="978">
      <c r="A978" s="98"/>
      <c r="B978" s="98" t="s">
        <v>3826</v>
      </c>
      <c r="C978" s="99" t="s">
        <v>3851</v>
      </c>
      <c r="D978" s="99" t="s">
        <v>26</v>
      </c>
      <c r="E978" s="100" t="s">
        <v>3852</v>
      </c>
      <c r="F978" s="101">
        <f t="shared" si="47"/>
        <v>1</v>
      </c>
      <c r="G978" s="99" t="s">
        <v>3853</v>
      </c>
      <c r="H978" s="99"/>
      <c r="I978" s="105"/>
      <c r="J978" s="100" t="s">
        <v>3854</v>
      </c>
    </row>
    <row r="979">
      <c r="A979" s="98"/>
      <c r="B979" s="98" t="s">
        <v>3826</v>
      </c>
      <c r="C979" s="99" t="s">
        <v>3855</v>
      </c>
      <c r="D979" s="99" t="s">
        <v>40</v>
      </c>
      <c r="E979" s="100" t="s">
        <v>3856</v>
      </c>
      <c r="F979" s="101">
        <f t="shared" si="47"/>
        <v>1</v>
      </c>
      <c r="G979" s="99" t="s">
        <v>3857</v>
      </c>
      <c r="H979" s="99"/>
      <c r="I979" s="105"/>
      <c r="J979" s="100" t="s">
        <v>3858</v>
      </c>
    </row>
    <row r="980">
      <c r="A980" s="98"/>
      <c r="B980" s="98" t="s">
        <v>3826</v>
      </c>
      <c r="C980" s="99" t="s">
        <v>3859</v>
      </c>
      <c r="D980" s="99" t="s">
        <v>26</v>
      </c>
      <c r="E980" s="100" t="s">
        <v>3860</v>
      </c>
      <c r="F980" s="101">
        <f t="shared" si="47"/>
        <v>1</v>
      </c>
      <c r="G980" s="99" t="s">
        <v>3861</v>
      </c>
      <c r="H980" s="99"/>
      <c r="I980" s="105"/>
      <c r="J980" s="100" t="s">
        <v>3862</v>
      </c>
    </row>
    <row r="981">
      <c r="A981" s="98"/>
      <c r="B981" s="98" t="s">
        <v>3826</v>
      </c>
      <c r="C981" s="99" t="s">
        <v>3863</v>
      </c>
      <c r="D981" s="99" t="s">
        <v>26</v>
      </c>
      <c r="E981" s="100" t="s">
        <v>3864</v>
      </c>
      <c r="F981" s="101">
        <f t="shared" si="47"/>
        <v>1</v>
      </c>
      <c r="G981" s="99" t="s">
        <v>3865</v>
      </c>
      <c r="H981" s="99"/>
      <c r="I981" s="105"/>
      <c r="J981" s="100" t="s">
        <v>3866</v>
      </c>
    </row>
    <row r="982">
      <c r="A982" s="98"/>
      <c r="B982" s="98" t="s">
        <v>3826</v>
      </c>
      <c r="C982" s="99" t="s">
        <v>3867</v>
      </c>
      <c r="D982" s="99" t="s">
        <v>40</v>
      </c>
      <c r="E982" s="100" t="s">
        <v>3868</v>
      </c>
      <c r="F982" s="101">
        <f t="shared" si="47"/>
        <v>1</v>
      </c>
      <c r="G982" s="99" t="s">
        <v>3869</v>
      </c>
      <c r="H982" s="99"/>
      <c r="I982" s="105"/>
      <c r="J982" s="100" t="s">
        <v>3870</v>
      </c>
    </row>
    <row r="983">
      <c r="A983" s="98"/>
      <c r="B983" s="98" t="s">
        <v>3826</v>
      </c>
      <c r="C983" s="99" t="s">
        <v>3871</v>
      </c>
      <c r="D983" s="99" t="s">
        <v>26</v>
      </c>
      <c r="E983" s="100" t="s">
        <v>3872</v>
      </c>
      <c r="F983" s="101">
        <f t="shared" si="47"/>
        <v>1</v>
      </c>
      <c r="G983" s="99" t="s">
        <v>3873</v>
      </c>
      <c r="H983" s="99"/>
      <c r="I983" s="105"/>
      <c r="J983" s="100" t="s">
        <v>3874</v>
      </c>
    </row>
    <row r="984">
      <c r="A984" s="98"/>
      <c r="B984" s="98" t="s">
        <v>3826</v>
      </c>
      <c r="C984" s="99" t="s">
        <v>3875</v>
      </c>
      <c r="D984" s="99" t="s">
        <v>26</v>
      </c>
      <c r="E984" s="100" t="s">
        <v>3876</v>
      </c>
      <c r="F984" s="101">
        <f t="shared" si="47"/>
        <v>1</v>
      </c>
      <c r="G984" s="99" t="s">
        <v>3877</v>
      </c>
      <c r="H984" s="99"/>
      <c r="I984" s="105"/>
      <c r="J984" s="100" t="s">
        <v>3878</v>
      </c>
    </row>
    <row r="985">
      <c r="A985" s="33"/>
      <c r="B985" s="33"/>
      <c r="C985" s="12"/>
      <c r="D985" s="12"/>
      <c r="E985" s="15"/>
      <c r="F985" s="14"/>
      <c r="G985" s="12" t="s">
        <v>851</v>
      </c>
      <c r="H985" s="12"/>
      <c r="I985" s="40"/>
      <c r="J985" s="15"/>
    </row>
    <row r="986">
      <c r="A986" s="98" t="s">
        <v>3421</v>
      </c>
      <c r="B986" s="98" t="s">
        <v>3879</v>
      </c>
      <c r="C986" s="99" t="s">
        <v>3880</v>
      </c>
      <c r="D986" s="99" t="s">
        <v>40</v>
      </c>
      <c r="E986" s="100" t="s">
        <v>3881</v>
      </c>
      <c r="F986" s="101">
        <f t="shared" ref="F986:F987" si="48">counta(I986:J986)</f>
        <v>2</v>
      </c>
      <c r="G986" s="99" t="s">
        <v>3882</v>
      </c>
      <c r="H986" s="99"/>
      <c r="I986" s="116" t="s">
        <v>3883</v>
      </c>
      <c r="J986" s="100" t="s">
        <v>3884</v>
      </c>
    </row>
    <row r="987">
      <c r="A987" s="98"/>
      <c r="B987" s="98" t="s">
        <v>3879</v>
      </c>
      <c r="C987" s="99" t="s">
        <v>3885</v>
      </c>
      <c r="D987" s="99" t="s">
        <v>40</v>
      </c>
      <c r="E987" s="100" t="s">
        <v>3886</v>
      </c>
      <c r="F987" s="101">
        <f t="shared" si="48"/>
        <v>2</v>
      </c>
      <c r="G987" s="99" t="s">
        <v>3887</v>
      </c>
      <c r="H987" s="99"/>
      <c r="I987" s="116" t="s">
        <v>3888</v>
      </c>
      <c r="J987" s="100" t="s">
        <v>3889</v>
      </c>
    </row>
    <row r="988">
      <c r="A988" s="33"/>
      <c r="B988" s="33"/>
      <c r="C988" s="12"/>
      <c r="D988" s="12"/>
      <c r="E988" s="15"/>
      <c r="F988" s="14"/>
      <c r="G988" s="12" t="s">
        <v>851</v>
      </c>
      <c r="H988" s="12"/>
      <c r="I988" s="40"/>
      <c r="J988" s="15"/>
    </row>
    <row r="989">
      <c r="A989" s="98" t="s">
        <v>3421</v>
      </c>
      <c r="B989" s="98" t="s">
        <v>3890</v>
      </c>
      <c r="C989" s="99" t="s">
        <v>3891</v>
      </c>
      <c r="D989" s="99" t="s">
        <v>40</v>
      </c>
      <c r="E989" s="100" t="s">
        <v>3892</v>
      </c>
      <c r="F989" s="101">
        <f t="shared" ref="F989:F992" si="49">counta(I989:J989)</f>
        <v>2</v>
      </c>
      <c r="G989" s="99" t="s">
        <v>3893</v>
      </c>
      <c r="H989" s="99"/>
      <c r="I989" s="100" t="s">
        <v>3894</v>
      </c>
      <c r="J989" s="100" t="s">
        <v>3895</v>
      </c>
    </row>
    <row r="990">
      <c r="A990" s="98"/>
      <c r="B990" s="98" t="s">
        <v>3890</v>
      </c>
      <c r="C990" s="99" t="s">
        <v>3896</v>
      </c>
      <c r="D990" s="99" t="s">
        <v>3897</v>
      </c>
      <c r="E990" s="100" t="s">
        <v>3898</v>
      </c>
      <c r="F990" s="101">
        <f t="shared" si="49"/>
        <v>2</v>
      </c>
      <c r="G990" s="99" t="s">
        <v>3899</v>
      </c>
      <c r="H990" s="99"/>
      <c r="I990" s="100" t="s">
        <v>3900</v>
      </c>
      <c r="J990" s="100" t="s">
        <v>3901</v>
      </c>
    </row>
    <row r="991">
      <c r="A991" s="98"/>
      <c r="B991" s="98" t="s">
        <v>3890</v>
      </c>
      <c r="C991" s="99" t="s">
        <v>3902</v>
      </c>
      <c r="D991" s="99" t="s">
        <v>3897</v>
      </c>
      <c r="E991" s="100" t="s">
        <v>3903</v>
      </c>
      <c r="F991" s="101">
        <f t="shared" si="49"/>
        <v>2</v>
      </c>
      <c r="G991" s="99" t="s">
        <v>3904</v>
      </c>
      <c r="H991" s="99"/>
      <c r="I991" s="100" t="s">
        <v>3905</v>
      </c>
      <c r="J991" s="100" t="s">
        <v>3906</v>
      </c>
    </row>
    <row r="992">
      <c r="A992" s="98"/>
      <c r="B992" s="98" t="s">
        <v>3890</v>
      </c>
      <c r="C992" s="99" t="s">
        <v>3907</v>
      </c>
      <c r="D992" s="99" t="s">
        <v>3897</v>
      </c>
      <c r="E992" s="100" t="s">
        <v>3908</v>
      </c>
      <c r="F992" s="101">
        <f t="shared" si="49"/>
        <v>2</v>
      </c>
      <c r="G992" s="99" t="s">
        <v>3909</v>
      </c>
      <c r="H992" s="99"/>
      <c r="I992" s="100" t="s">
        <v>3910</v>
      </c>
      <c r="J992" s="100" t="s">
        <v>3911</v>
      </c>
    </row>
    <row r="993">
      <c r="A993" s="33"/>
      <c r="B993" s="33"/>
      <c r="C993" s="12"/>
      <c r="D993" s="12"/>
      <c r="E993" s="15"/>
      <c r="F993" s="14"/>
      <c r="G993" s="12" t="s">
        <v>851</v>
      </c>
      <c r="H993" s="12"/>
      <c r="I993" s="88"/>
      <c r="J993" s="88"/>
    </row>
    <row r="994">
      <c r="A994" s="98" t="s">
        <v>3421</v>
      </c>
      <c r="B994" s="98" t="s">
        <v>925</v>
      </c>
      <c r="C994" s="99" t="s">
        <v>3912</v>
      </c>
      <c r="D994" s="99" t="s">
        <v>40</v>
      </c>
      <c r="E994" s="100" t="s">
        <v>3913</v>
      </c>
      <c r="F994" s="101">
        <f t="shared" ref="F994:F1001" si="50">counta(I994:J994)</f>
        <v>2</v>
      </c>
      <c r="G994" s="99" t="s">
        <v>3914</v>
      </c>
      <c r="H994" s="99"/>
      <c r="I994" s="100" t="s">
        <v>3915</v>
      </c>
      <c r="J994" s="100" t="s">
        <v>3916</v>
      </c>
    </row>
    <row r="995">
      <c r="A995" s="98"/>
      <c r="B995" s="98" t="s">
        <v>925</v>
      </c>
      <c r="C995" s="99" t="s">
        <v>3917</v>
      </c>
      <c r="D995" s="99" t="s">
        <v>944</v>
      </c>
      <c r="E995" s="100" t="s">
        <v>3918</v>
      </c>
      <c r="F995" s="101">
        <f t="shared" si="50"/>
        <v>2</v>
      </c>
      <c r="G995" s="99" t="s">
        <v>3919</v>
      </c>
      <c r="H995" s="99"/>
      <c r="I995" s="100" t="s">
        <v>3920</v>
      </c>
      <c r="J995" s="100" t="s">
        <v>3921</v>
      </c>
    </row>
    <row r="996">
      <c r="A996" s="98"/>
      <c r="B996" s="98" t="s">
        <v>925</v>
      </c>
      <c r="C996" s="99" t="s">
        <v>3922</v>
      </c>
      <c r="D996" s="99" t="s">
        <v>944</v>
      </c>
      <c r="E996" s="100" t="s">
        <v>3923</v>
      </c>
      <c r="F996" s="101">
        <f t="shared" si="50"/>
        <v>2</v>
      </c>
      <c r="G996" s="99" t="s">
        <v>3924</v>
      </c>
      <c r="H996" s="99"/>
      <c r="I996" s="100" t="s">
        <v>3925</v>
      </c>
      <c r="J996" s="100" t="s">
        <v>3926</v>
      </c>
    </row>
    <row r="997">
      <c r="A997" s="98"/>
      <c r="B997" s="98" t="s">
        <v>925</v>
      </c>
      <c r="C997" s="99" t="s">
        <v>3927</v>
      </c>
      <c r="D997" s="99" t="s">
        <v>944</v>
      </c>
      <c r="E997" s="100" t="s">
        <v>3928</v>
      </c>
      <c r="F997" s="101">
        <f t="shared" si="50"/>
        <v>2</v>
      </c>
      <c r="G997" s="99" t="s">
        <v>3929</v>
      </c>
      <c r="H997" s="99"/>
      <c r="I997" s="100" t="s">
        <v>3930</v>
      </c>
      <c r="J997" s="100" t="s">
        <v>3931</v>
      </c>
    </row>
    <row r="998">
      <c r="A998" s="98"/>
      <c r="B998" s="98" t="s">
        <v>925</v>
      </c>
      <c r="C998" s="99" t="s">
        <v>3932</v>
      </c>
      <c r="D998" s="99" t="s">
        <v>40</v>
      </c>
      <c r="E998" s="100" t="s">
        <v>3933</v>
      </c>
      <c r="F998" s="101">
        <f t="shared" si="50"/>
        <v>2</v>
      </c>
      <c r="G998" s="99" t="s">
        <v>3934</v>
      </c>
      <c r="H998" s="99"/>
      <c r="I998" s="100" t="s">
        <v>3935</v>
      </c>
      <c r="J998" s="100" t="s">
        <v>3936</v>
      </c>
    </row>
    <row r="999">
      <c r="A999" s="98"/>
      <c r="B999" s="98" t="s">
        <v>925</v>
      </c>
      <c r="C999" s="99" t="s">
        <v>3937</v>
      </c>
      <c r="D999" s="99" t="s">
        <v>944</v>
      </c>
      <c r="E999" s="100" t="s">
        <v>3938</v>
      </c>
      <c r="F999" s="101">
        <f t="shared" si="50"/>
        <v>2</v>
      </c>
      <c r="G999" s="99" t="s">
        <v>3939</v>
      </c>
      <c r="H999" s="99"/>
      <c r="I999" s="100" t="s">
        <v>3940</v>
      </c>
      <c r="J999" s="100" t="s">
        <v>3941</v>
      </c>
    </row>
    <row r="1000">
      <c r="A1000" s="98"/>
      <c r="B1000" s="98" t="s">
        <v>925</v>
      </c>
      <c r="C1000" s="99" t="s">
        <v>3942</v>
      </c>
      <c r="D1000" s="99" t="s">
        <v>944</v>
      </c>
      <c r="E1000" s="100" t="s">
        <v>3943</v>
      </c>
      <c r="F1000" s="101">
        <f t="shared" si="50"/>
        <v>2</v>
      </c>
      <c r="G1000" s="99" t="s">
        <v>3944</v>
      </c>
      <c r="H1000" s="99"/>
      <c r="I1000" s="100" t="s">
        <v>3945</v>
      </c>
      <c r="J1000" s="100" t="s">
        <v>3946</v>
      </c>
    </row>
    <row r="1001">
      <c r="A1001" s="98"/>
      <c r="B1001" s="98" t="s">
        <v>925</v>
      </c>
      <c r="C1001" s="99" t="s">
        <v>3947</v>
      </c>
      <c r="D1001" s="99" t="s">
        <v>944</v>
      </c>
      <c r="E1001" s="100" t="s">
        <v>3948</v>
      </c>
      <c r="F1001" s="101">
        <f t="shared" si="50"/>
        <v>2</v>
      </c>
      <c r="G1001" s="99" t="s">
        <v>3949</v>
      </c>
      <c r="H1001" s="99"/>
      <c r="I1001" s="100" t="s">
        <v>3950</v>
      </c>
      <c r="J1001" s="100" t="s">
        <v>3951</v>
      </c>
    </row>
    <row r="1002">
      <c r="A1002" s="33"/>
      <c r="B1002" s="33"/>
      <c r="C1002" s="12"/>
      <c r="D1002" s="12"/>
      <c r="E1002" s="15"/>
      <c r="F1002" s="14"/>
      <c r="G1002" s="12" t="s">
        <v>851</v>
      </c>
      <c r="H1002" s="12"/>
      <c r="I1002" s="88"/>
      <c r="J1002" s="88"/>
    </row>
    <row r="1003">
      <c r="A1003" s="98" t="s">
        <v>3421</v>
      </c>
      <c r="B1003" s="98" t="s">
        <v>3952</v>
      </c>
      <c r="C1003" s="99" t="s">
        <v>3953</v>
      </c>
      <c r="D1003" s="99" t="s">
        <v>40</v>
      </c>
      <c r="E1003" s="100" t="s">
        <v>3954</v>
      </c>
      <c r="F1003" s="101">
        <f t="shared" ref="F1003:F1016" si="51">counta(I1003:J1003)</f>
        <v>2</v>
      </c>
      <c r="G1003" s="99" t="s">
        <v>3955</v>
      </c>
      <c r="H1003" s="99"/>
      <c r="I1003" s="100" t="s">
        <v>3956</v>
      </c>
      <c r="J1003" s="100" t="s">
        <v>3957</v>
      </c>
    </row>
    <row r="1004">
      <c r="A1004" s="98"/>
      <c r="B1004" s="98" t="s">
        <v>3952</v>
      </c>
      <c r="C1004" s="99" t="s">
        <v>3958</v>
      </c>
      <c r="D1004" s="99" t="s">
        <v>40</v>
      </c>
      <c r="E1004" s="100" t="s">
        <v>3959</v>
      </c>
      <c r="F1004" s="101">
        <f t="shared" si="51"/>
        <v>2</v>
      </c>
      <c r="G1004" s="99" t="s">
        <v>3960</v>
      </c>
      <c r="H1004" s="99"/>
      <c r="I1004" s="100" t="s">
        <v>3961</v>
      </c>
      <c r="J1004" s="100" t="s">
        <v>3962</v>
      </c>
    </row>
    <row r="1005">
      <c r="A1005" s="98"/>
      <c r="B1005" s="98" t="s">
        <v>3952</v>
      </c>
      <c r="C1005" s="99" t="s">
        <v>3963</v>
      </c>
      <c r="D1005" s="99" t="s">
        <v>40</v>
      </c>
      <c r="E1005" s="100" t="s">
        <v>3964</v>
      </c>
      <c r="F1005" s="101">
        <f t="shared" si="51"/>
        <v>1</v>
      </c>
      <c r="G1005" s="99" t="s">
        <v>3965</v>
      </c>
      <c r="H1005" s="99"/>
      <c r="I1005" s="105"/>
      <c r="J1005" s="100" t="s">
        <v>3966</v>
      </c>
    </row>
    <row r="1006">
      <c r="A1006" s="98"/>
      <c r="B1006" s="98" t="s">
        <v>3952</v>
      </c>
      <c r="C1006" s="99" t="s">
        <v>3967</v>
      </c>
      <c r="D1006" s="99" t="s">
        <v>40</v>
      </c>
      <c r="E1006" s="100" t="s">
        <v>3968</v>
      </c>
      <c r="F1006" s="101">
        <f t="shared" si="51"/>
        <v>2</v>
      </c>
      <c r="G1006" s="99" t="s">
        <v>3969</v>
      </c>
      <c r="H1006" s="99"/>
      <c r="I1006" s="100" t="s">
        <v>3970</v>
      </c>
      <c r="J1006" s="100" t="s">
        <v>3971</v>
      </c>
    </row>
    <row r="1007">
      <c r="A1007" s="98"/>
      <c r="B1007" s="98" t="s">
        <v>3952</v>
      </c>
      <c r="C1007" s="99" t="s">
        <v>3972</v>
      </c>
      <c r="D1007" s="99" t="s">
        <v>40</v>
      </c>
      <c r="E1007" s="100" t="s">
        <v>3973</v>
      </c>
      <c r="F1007" s="101">
        <f t="shared" si="51"/>
        <v>2</v>
      </c>
      <c r="G1007" s="99" t="s">
        <v>3974</v>
      </c>
      <c r="H1007" s="99"/>
      <c r="I1007" s="100" t="s">
        <v>3975</v>
      </c>
      <c r="J1007" s="100" t="s">
        <v>3976</v>
      </c>
    </row>
    <row r="1008">
      <c r="A1008" s="98"/>
      <c r="B1008" s="98" t="s">
        <v>3952</v>
      </c>
      <c r="C1008" s="99" t="s">
        <v>3977</v>
      </c>
      <c r="D1008" s="99" t="s">
        <v>40</v>
      </c>
      <c r="E1008" s="100" t="s">
        <v>3978</v>
      </c>
      <c r="F1008" s="101">
        <f t="shared" si="51"/>
        <v>2</v>
      </c>
      <c r="G1008" s="99" t="s">
        <v>3979</v>
      </c>
      <c r="H1008" s="99"/>
      <c r="I1008" s="100" t="s">
        <v>3980</v>
      </c>
      <c r="J1008" s="100" t="s">
        <v>3981</v>
      </c>
    </row>
    <row r="1009">
      <c r="A1009" s="98"/>
      <c r="B1009" s="98" t="s">
        <v>3952</v>
      </c>
      <c r="C1009" s="99" t="s">
        <v>3982</v>
      </c>
      <c r="D1009" s="99" t="s">
        <v>40</v>
      </c>
      <c r="E1009" s="100" t="s">
        <v>3983</v>
      </c>
      <c r="F1009" s="101">
        <f t="shared" si="51"/>
        <v>2</v>
      </c>
      <c r="G1009" s="99" t="s">
        <v>3984</v>
      </c>
      <c r="H1009" s="99"/>
      <c r="I1009" s="100" t="s">
        <v>3985</v>
      </c>
      <c r="J1009" s="100" t="s">
        <v>3986</v>
      </c>
    </row>
    <row r="1010">
      <c r="A1010" s="98"/>
      <c r="B1010" s="98" t="s">
        <v>3952</v>
      </c>
      <c r="C1010" s="99" t="s">
        <v>3987</v>
      </c>
      <c r="D1010" s="99" t="s">
        <v>40</v>
      </c>
      <c r="E1010" s="100" t="s">
        <v>3988</v>
      </c>
      <c r="F1010" s="101">
        <f t="shared" si="51"/>
        <v>2</v>
      </c>
      <c r="G1010" s="99" t="s">
        <v>3989</v>
      </c>
      <c r="H1010" s="99"/>
      <c r="I1010" s="100" t="s">
        <v>3990</v>
      </c>
      <c r="J1010" s="100" t="s">
        <v>3991</v>
      </c>
    </row>
    <row r="1011">
      <c r="A1011" s="98"/>
      <c r="B1011" s="98" t="s">
        <v>3952</v>
      </c>
      <c r="C1011" s="99" t="s">
        <v>3992</v>
      </c>
      <c r="D1011" s="99" t="s">
        <v>26</v>
      </c>
      <c r="E1011" s="100" t="s">
        <v>3993</v>
      </c>
      <c r="F1011" s="101">
        <f t="shared" si="51"/>
        <v>2</v>
      </c>
      <c r="G1011" s="99" t="s">
        <v>3994</v>
      </c>
      <c r="H1011" s="99"/>
      <c r="I1011" s="100" t="s">
        <v>3995</v>
      </c>
      <c r="J1011" s="100" t="s">
        <v>3996</v>
      </c>
    </row>
    <row r="1012">
      <c r="A1012" s="98"/>
      <c r="B1012" s="98" t="s">
        <v>3952</v>
      </c>
      <c r="C1012" s="99" t="s">
        <v>3997</v>
      </c>
      <c r="D1012" s="99" t="s">
        <v>145</v>
      </c>
      <c r="E1012" s="100" t="s">
        <v>3998</v>
      </c>
      <c r="F1012" s="101">
        <f t="shared" si="51"/>
        <v>2</v>
      </c>
      <c r="G1012" s="99" t="s">
        <v>3999</v>
      </c>
      <c r="H1012" s="99"/>
      <c r="I1012" s="100" t="s">
        <v>4000</v>
      </c>
      <c r="J1012" s="100" t="s">
        <v>4001</v>
      </c>
    </row>
    <row r="1013">
      <c r="A1013" s="98"/>
      <c r="B1013" s="98" t="s">
        <v>3952</v>
      </c>
      <c r="C1013" s="99" t="s">
        <v>4002</v>
      </c>
      <c r="D1013" s="99" t="s">
        <v>40</v>
      </c>
      <c r="E1013" s="100" t="s">
        <v>4003</v>
      </c>
      <c r="F1013" s="101">
        <f t="shared" si="51"/>
        <v>2</v>
      </c>
      <c r="G1013" s="99" t="s">
        <v>4004</v>
      </c>
      <c r="H1013" s="99"/>
      <c r="I1013" s="100" t="s">
        <v>4005</v>
      </c>
      <c r="J1013" s="100" t="s">
        <v>4006</v>
      </c>
    </row>
    <row r="1014">
      <c r="A1014" s="98"/>
      <c r="B1014" s="98" t="s">
        <v>3952</v>
      </c>
      <c r="C1014" s="99" t="s">
        <v>4007</v>
      </c>
      <c r="D1014" s="99" t="s">
        <v>26</v>
      </c>
      <c r="E1014" s="100" t="s">
        <v>4008</v>
      </c>
      <c r="F1014" s="101">
        <f t="shared" si="51"/>
        <v>2</v>
      </c>
      <c r="G1014" s="99" t="s">
        <v>4009</v>
      </c>
      <c r="H1014" s="99"/>
      <c r="I1014" s="100" t="s">
        <v>4010</v>
      </c>
      <c r="J1014" s="100" t="s">
        <v>4011</v>
      </c>
    </row>
    <row r="1015">
      <c r="A1015" s="98"/>
      <c r="B1015" s="98" t="s">
        <v>3952</v>
      </c>
      <c r="C1015" s="99" t="s">
        <v>4012</v>
      </c>
      <c r="D1015" s="99" t="s">
        <v>145</v>
      </c>
      <c r="E1015" s="100" t="s">
        <v>4013</v>
      </c>
      <c r="F1015" s="101">
        <f t="shared" si="51"/>
        <v>2</v>
      </c>
      <c r="G1015" s="99" t="s">
        <v>4014</v>
      </c>
      <c r="H1015" s="99"/>
      <c r="I1015" s="100" t="s">
        <v>4015</v>
      </c>
      <c r="J1015" s="100" t="s">
        <v>4016</v>
      </c>
    </row>
    <row r="1016">
      <c r="A1016" s="98"/>
      <c r="B1016" s="98" t="s">
        <v>3952</v>
      </c>
      <c r="C1016" s="99" t="s">
        <v>4017</v>
      </c>
      <c r="D1016" s="99" t="s">
        <v>40</v>
      </c>
      <c r="E1016" s="100" t="s">
        <v>4018</v>
      </c>
      <c r="F1016" s="101">
        <f t="shared" si="51"/>
        <v>2</v>
      </c>
      <c r="G1016" s="99" t="s">
        <v>4019</v>
      </c>
      <c r="H1016" s="99"/>
      <c r="I1016" s="100" t="s">
        <v>4020</v>
      </c>
      <c r="J1016" s="100" t="s">
        <v>4021</v>
      </c>
    </row>
    <row r="1017">
      <c r="A1017" s="33"/>
      <c r="B1017" s="33"/>
      <c r="C1017" s="12"/>
      <c r="D1017" s="12"/>
      <c r="E1017" s="15"/>
      <c r="F1017" s="14"/>
      <c r="G1017" s="12" t="s">
        <v>851</v>
      </c>
      <c r="H1017" s="12"/>
      <c r="I1017" s="88"/>
      <c r="J1017" s="88"/>
    </row>
    <row r="1018">
      <c r="A1018" s="98" t="s">
        <v>3421</v>
      </c>
      <c r="B1018" s="98" t="s">
        <v>4022</v>
      </c>
      <c r="C1018" s="99" t="s">
        <v>4023</v>
      </c>
      <c r="D1018" s="99" t="s">
        <v>40</v>
      </c>
      <c r="E1018" s="100" t="s">
        <v>4024</v>
      </c>
      <c r="F1018" s="101">
        <f t="shared" ref="F1018:F1021" si="52">counta(I1018:J1018)</f>
        <v>2</v>
      </c>
      <c r="G1018" s="99" t="s">
        <v>4025</v>
      </c>
      <c r="H1018" s="99"/>
      <c r="I1018" s="100" t="s">
        <v>4026</v>
      </c>
      <c r="J1018" s="100" t="s">
        <v>4027</v>
      </c>
    </row>
    <row r="1019">
      <c r="A1019" s="98"/>
      <c r="B1019" s="98" t="s">
        <v>4022</v>
      </c>
      <c r="C1019" s="99" t="s">
        <v>4028</v>
      </c>
      <c r="D1019" s="99" t="s">
        <v>4029</v>
      </c>
      <c r="E1019" s="100" t="s">
        <v>4030</v>
      </c>
      <c r="F1019" s="101">
        <f t="shared" si="52"/>
        <v>2</v>
      </c>
      <c r="G1019" s="99" t="s">
        <v>4031</v>
      </c>
      <c r="H1019" s="99"/>
      <c r="I1019" s="100" t="s">
        <v>4032</v>
      </c>
      <c r="J1019" s="100" t="s">
        <v>4033</v>
      </c>
    </row>
    <row r="1020">
      <c r="A1020" s="98"/>
      <c r="B1020" s="98" t="s">
        <v>4022</v>
      </c>
      <c r="C1020" s="99" t="s">
        <v>4034</v>
      </c>
      <c r="D1020" s="99" t="s">
        <v>4029</v>
      </c>
      <c r="E1020" s="100" t="s">
        <v>4035</v>
      </c>
      <c r="F1020" s="101">
        <f t="shared" si="52"/>
        <v>2</v>
      </c>
      <c r="G1020" s="99" t="s">
        <v>4036</v>
      </c>
      <c r="H1020" s="99"/>
      <c r="I1020" s="100" t="s">
        <v>4037</v>
      </c>
      <c r="J1020" s="100" t="s">
        <v>4038</v>
      </c>
    </row>
    <row r="1021">
      <c r="A1021" s="98"/>
      <c r="B1021" s="98" t="s">
        <v>4022</v>
      </c>
      <c r="C1021" s="99" t="s">
        <v>4039</v>
      </c>
      <c r="D1021" s="99" t="s">
        <v>4029</v>
      </c>
      <c r="E1021" s="100" t="s">
        <v>4040</v>
      </c>
      <c r="F1021" s="101">
        <f t="shared" si="52"/>
        <v>2</v>
      </c>
      <c r="G1021" s="99" t="s">
        <v>4041</v>
      </c>
      <c r="H1021" s="99"/>
      <c r="I1021" s="100" t="s">
        <v>4042</v>
      </c>
      <c r="J1021" s="100" t="s">
        <v>4043</v>
      </c>
    </row>
    <row r="1022">
      <c r="A1022" s="117"/>
      <c r="B1022" s="117"/>
      <c r="C1022" s="12"/>
      <c r="D1022" s="12"/>
      <c r="E1022" s="15"/>
      <c r="F1022" s="14"/>
      <c r="G1022" s="12" t="s">
        <v>851</v>
      </c>
      <c r="H1022" s="12"/>
      <c r="I1022" s="88"/>
      <c r="J1022" s="88"/>
    </row>
    <row r="1023">
      <c r="A1023" s="98" t="s">
        <v>3421</v>
      </c>
      <c r="B1023" s="98" t="s">
        <v>4044</v>
      </c>
      <c r="C1023" s="99" t="s">
        <v>4045</v>
      </c>
      <c r="D1023" s="99" t="s">
        <v>40</v>
      </c>
      <c r="E1023" s="100" t="s">
        <v>4046</v>
      </c>
      <c r="F1023" s="101">
        <f t="shared" ref="F1023:F1031" si="53">counta(I1023:J1023)</f>
        <v>1</v>
      </c>
      <c r="G1023" s="99" t="s">
        <v>4047</v>
      </c>
      <c r="H1023" s="99"/>
      <c r="I1023" s="116"/>
      <c r="J1023" s="100" t="s">
        <v>4048</v>
      </c>
    </row>
    <row r="1024">
      <c r="A1024" s="98"/>
      <c r="B1024" s="98" t="s">
        <v>4044</v>
      </c>
      <c r="C1024" s="99" t="s">
        <v>4049</v>
      </c>
      <c r="D1024" s="99" t="s">
        <v>40</v>
      </c>
      <c r="E1024" s="100" t="s">
        <v>3492</v>
      </c>
      <c r="F1024" s="101">
        <f t="shared" si="53"/>
        <v>2</v>
      </c>
      <c r="G1024" s="99" t="s">
        <v>4050</v>
      </c>
      <c r="H1024" s="99"/>
      <c r="I1024" s="116" t="s">
        <v>4051</v>
      </c>
      <c r="J1024" s="100" t="s">
        <v>4052</v>
      </c>
    </row>
    <row r="1025">
      <c r="A1025" s="98"/>
      <c r="B1025" s="98" t="s">
        <v>4044</v>
      </c>
      <c r="C1025" s="99" t="s">
        <v>4053</v>
      </c>
      <c r="D1025" s="99" t="s">
        <v>40</v>
      </c>
      <c r="E1025" s="100" t="s">
        <v>3496</v>
      </c>
      <c r="F1025" s="101">
        <f t="shared" si="53"/>
        <v>2</v>
      </c>
      <c r="G1025" s="99" t="s">
        <v>4054</v>
      </c>
      <c r="H1025" s="99"/>
      <c r="I1025" s="116" t="s">
        <v>4055</v>
      </c>
      <c r="J1025" s="100" t="s">
        <v>4056</v>
      </c>
    </row>
    <row r="1026">
      <c r="A1026" s="98"/>
      <c r="B1026" s="98" t="s">
        <v>4044</v>
      </c>
      <c r="C1026" s="99" t="s">
        <v>4057</v>
      </c>
      <c r="D1026" s="99" t="s">
        <v>40</v>
      </c>
      <c r="E1026" s="100" t="s">
        <v>3500</v>
      </c>
      <c r="F1026" s="101">
        <f t="shared" si="53"/>
        <v>2</v>
      </c>
      <c r="G1026" s="99" t="s">
        <v>4058</v>
      </c>
      <c r="H1026" s="99"/>
      <c r="I1026" s="116" t="s">
        <v>4059</v>
      </c>
      <c r="J1026" s="100" t="s">
        <v>4060</v>
      </c>
    </row>
    <row r="1027">
      <c r="A1027" s="98"/>
      <c r="B1027" s="98" t="s">
        <v>4044</v>
      </c>
      <c r="C1027" s="99" t="s">
        <v>4061</v>
      </c>
      <c r="D1027" s="99" t="s">
        <v>40</v>
      </c>
      <c r="E1027" s="100" t="s">
        <v>4062</v>
      </c>
      <c r="F1027" s="101">
        <f t="shared" si="53"/>
        <v>2</v>
      </c>
      <c r="G1027" s="99" t="s">
        <v>4063</v>
      </c>
      <c r="H1027" s="99"/>
      <c r="I1027" s="116" t="s">
        <v>4064</v>
      </c>
      <c r="J1027" s="100" t="s">
        <v>4065</v>
      </c>
    </row>
    <row r="1028">
      <c r="A1028" s="98"/>
      <c r="B1028" s="98" t="s">
        <v>4044</v>
      </c>
      <c r="C1028" s="99" t="s">
        <v>4066</v>
      </c>
      <c r="D1028" s="99" t="s">
        <v>40</v>
      </c>
      <c r="E1028" s="100" t="s">
        <v>3508</v>
      </c>
      <c r="F1028" s="101">
        <f t="shared" si="53"/>
        <v>2</v>
      </c>
      <c r="G1028" s="99" t="s">
        <v>4067</v>
      </c>
      <c r="H1028" s="99"/>
      <c r="I1028" s="116" t="s">
        <v>4068</v>
      </c>
      <c r="J1028" s="100" t="s">
        <v>4069</v>
      </c>
    </row>
    <row r="1029">
      <c r="A1029" s="98"/>
      <c r="B1029" s="98" t="s">
        <v>4044</v>
      </c>
      <c r="C1029" s="99" t="s">
        <v>4070</v>
      </c>
      <c r="D1029" s="99" t="s">
        <v>40</v>
      </c>
      <c r="E1029" s="100" t="s">
        <v>3512</v>
      </c>
      <c r="F1029" s="101">
        <f t="shared" si="53"/>
        <v>2</v>
      </c>
      <c r="G1029" s="99" t="s">
        <v>4071</v>
      </c>
      <c r="H1029" s="99"/>
      <c r="I1029" s="116" t="s">
        <v>4072</v>
      </c>
      <c r="J1029" s="100" t="s">
        <v>4073</v>
      </c>
    </row>
    <row r="1030">
      <c r="A1030" s="98"/>
      <c r="B1030" s="98" t="s">
        <v>4044</v>
      </c>
      <c r="C1030" s="99" t="s">
        <v>4074</v>
      </c>
      <c r="D1030" s="99" t="s">
        <v>40</v>
      </c>
      <c r="E1030" s="100" t="s">
        <v>4075</v>
      </c>
      <c r="F1030" s="101">
        <f t="shared" si="53"/>
        <v>2</v>
      </c>
      <c r="G1030" s="99" t="s">
        <v>4076</v>
      </c>
      <c r="H1030" s="99"/>
      <c r="I1030" s="116" t="s">
        <v>4077</v>
      </c>
      <c r="J1030" s="100" t="s">
        <v>4078</v>
      </c>
    </row>
    <row r="1031">
      <c r="A1031" s="98"/>
      <c r="B1031" s="98" t="s">
        <v>4044</v>
      </c>
      <c r="C1031" s="99" t="s">
        <v>4079</v>
      </c>
      <c r="D1031" s="99" t="s">
        <v>16</v>
      </c>
      <c r="E1031" s="100" t="s">
        <v>3128</v>
      </c>
      <c r="F1031" s="101">
        <f t="shared" si="53"/>
        <v>2</v>
      </c>
      <c r="G1031" s="99" t="s">
        <v>4080</v>
      </c>
      <c r="H1031" s="99"/>
      <c r="I1031" s="116" t="s">
        <v>4081</v>
      </c>
      <c r="J1031" s="100" t="s">
        <v>4082</v>
      </c>
    </row>
    <row r="1032">
      <c r="A1032" s="117"/>
      <c r="B1032" s="117"/>
      <c r="C1032" s="118"/>
      <c r="D1032" s="118"/>
      <c r="F1032" s="14"/>
      <c r="G1032" s="118"/>
      <c r="H1032" s="118"/>
    </row>
    <row r="1033">
      <c r="A1033" s="98" t="s">
        <v>3421</v>
      </c>
      <c r="B1033" s="98" t="s">
        <v>4083</v>
      </c>
      <c r="C1033" s="99" t="s">
        <v>4084</v>
      </c>
      <c r="D1033" s="99" t="s">
        <v>40</v>
      </c>
      <c r="E1033" s="100" t="s">
        <v>4085</v>
      </c>
      <c r="F1033" s="101">
        <f t="shared" ref="F1033:F1045" si="54">counta(I1033:J1033)</f>
        <v>2</v>
      </c>
      <c r="G1033" s="99" t="s">
        <v>4086</v>
      </c>
      <c r="H1033" s="99"/>
      <c r="I1033" s="100" t="s">
        <v>4087</v>
      </c>
      <c r="J1033" s="100" t="s">
        <v>4088</v>
      </c>
    </row>
    <row r="1034">
      <c r="A1034" s="98"/>
      <c r="B1034" s="98" t="s">
        <v>4083</v>
      </c>
      <c r="C1034" s="99" t="s">
        <v>4089</v>
      </c>
      <c r="D1034" s="99" t="s">
        <v>26</v>
      </c>
      <c r="E1034" s="100" t="s">
        <v>4090</v>
      </c>
      <c r="F1034" s="101">
        <f t="shared" si="54"/>
        <v>2</v>
      </c>
      <c r="G1034" s="99" t="s">
        <v>4091</v>
      </c>
      <c r="H1034" s="99"/>
      <c r="I1034" s="100" t="s">
        <v>4092</v>
      </c>
      <c r="J1034" s="100" t="s">
        <v>4093</v>
      </c>
    </row>
    <row r="1035">
      <c r="A1035" s="98"/>
      <c r="B1035" s="98" t="s">
        <v>4083</v>
      </c>
      <c r="C1035" s="99" t="s">
        <v>4094</v>
      </c>
      <c r="D1035" s="99" t="s">
        <v>145</v>
      </c>
      <c r="E1035" s="100" t="s">
        <v>4095</v>
      </c>
      <c r="F1035" s="101">
        <f t="shared" si="54"/>
        <v>2</v>
      </c>
      <c r="G1035" s="99" t="s">
        <v>4096</v>
      </c>
      <c r="H1035" s="99"/>
      <c r="I1035" s="100" t="s">
        <v>4097</v>
      </c>
      <c r="J1035" s="100" t="s">
        <v>4098</v>
      </c>
    </row>
    <row r="1036">
      <c r="A1036" s="98"/>
      <c r="B1036" s="98" t="s">
        <v>4083</v>
      </c>
      <c r="C1036" s="99" t="s">
        <v>4099</v>
      </c>
      <c r="D1036" s="99" t="s">
        <v>40</v>
      </c>
      <c r="E1036" s="100" t="s">
        <v>4100</v>
      </c>
      <c r="F1036" s="101">
        <f t="shared" si="54"/>
        <v>2</v>
      </c>
      <c r="G1036" s="99" t="s">
        <v>4101</v>
      </c>
      <c r="H1036" s="99"/>
      <c r="I1036" s="100" t="s">
        <v>4102</v>
      </c>
      <c r="J1036" s="100" t="s">
        <v>4103</v>
      </c>
    </row>
    <row r="1037">
      <c r="A1037" s="98"/>
      <c r="B1037" s="98" t="s">
        <v>4083</v>
      </c>
      <c r="C1037" s="99" t="s">
        <v>4104</v>
      </c>
      <c r="D1037" s="99" t="s">
        <v>40</v>
      </c>
      <c r="E1037" s="100" t="s">
        <v>4105</v>
      </c>
      <c r="F1037" s="101">
        <f t="shared" si="54"/>
        <v>2</v>
      </c>
      <c r="G1037" s="99" t="s">
        <v>4106</v>
      </c>
      <c r="H1037" s="99"/>
      <c r="I1037" s="100" t="s">
        <v>4107</v>
      </c>
      <c r="J1037" s="100" t="s">
        <v>4108</v>
      </c>
    </row>
    <row r="1038">
      <c r="A1038" s="98"/>
      <c r="B1038" s="98" t="s">
        <v>4083</v>
      </c>
      <c r="C1038" s="99" t="s">
        <v>4109</v>
      </c>
      <c r="D1038" s="99" t="s">
        <v>40</v>
      </c>
      <c r="E1038" s="100" t="s">
        <v>4110</v>
      </c>
      <c r="F1038" s="101">
        <f t="shared" si="54"/>
        <v>2</v>
      </c>
      <c r="G1038" s="99" t="s">
        <v>4111</v>
      </c>
      <c r="H1038" s="99"/>
      <c r="I1038" s="100" t="s">
        <v>4112</v>
      </c>
      <c r="J1038" s="100" t="s">
        <v>4113</v>
      </c>
    </row>
    <row r="1039">
      <c r="A1039" s="98"/>
      <c r="B1039" s="98" t="s">
        <v>4083</v>
      </c>
      <c r="C1039" s="99" t="s">
        <v>4114</v>
      </c>
      <c r="D1039" s="99" t="s">
        <v>40</v>
      </c>
      <c r="E1039" s="100" t="s">
        <v>4115</v>
      </c>
      <c r="F1039" s="101">
        <f t="shared" si="54"/>
        <v>2</v>
      </c>
      <c r="G1039" s="99" t="s">
        <v>4116</v>
      </c>
      <c r="H1039" s="99"/>
      <c r="I1039" s="100" t="s">
        <v>4117</v>
      </c>
      <c r="J1039" s="100" t="s">
        <v>4118</v>
      </c>
    </row>
    <row r="1040">
      <c r="A1040" s="98"/>
      <c r="B1040" s="98" t="s">
        <v>4083</v>
      </c>
      <c r="C1040" s="99" t="s">
        <v>4119</v>
      </c>
      <c r="D1040" s="99" t="s">
        <v>40</v>
      </c>
      <c r="E1040" s="100" t="s">
        <v>4120</v>
      </c>
      <c r="F1040" s="101">
        <f t="shared" si="54"/>
        <v>2</v>
      </c>
      <c r="G1040" s="99" t="s">
        <v>4121</v>
      </c>
      <c r="H1040" s="99"/>
      <c r="I1040" s="100" t="s">
        <v>4122</v>
      </c>
      <c r="J1040" s="100" t="s">
        <v>4123</v>
      </c>
    </row>
    <row r="1041">
      <c r="A1041" s="98"/>
      <c r="B1041" s="98" t="s">
        <v>4083</v>
      </c>
      <c r="C1041" s="99" t="s">
        <v>4124</v>
      </c>
      <c r="D1041" s="99" t="s">
        <v>40</v>
      </c>
      <c r="E1041" s="100" t="s">
        <v>4125</v>
      </c>
      <c r="F1041" s="101">
        <f t="shared" si="54"/>
        <v>2</v>
      </c>
      <c r="G1041" s="99" t="s">
        <v>4126</v>
      </c>
      <c r="H1041" s="99"/>
      <c r="I1041" s="100" t="s">
        <v>4127</v>
      </c>
      <c r="J1041" s="100" t="s">
        <v>4128</v>
      </c>
    </row>
    <row r="1042">
      <c r="A1042" s="98"/>
      <c r="B1042" s="98" t="s">
        <v>4083</v>
      </c>
      <c r="C1042" s="99" t="s">
        <v>4129</v>
      </c>
      <c r="D1042" s="99" t="s">
        <v>40</v>
      </c>
      <c r="E1042" s="100" t="s">
        <v>4130</v>
      </c>
      <c r="F1042" s="101">
        <f t="shared" si="54"/>
        <v>2</v>
      </c>
      <c r="G1042" s="99" t="s">
        <v>4131</v>
      </c>
      <c r="H1042" s="99"/>
      <c r="I1042" s="100" t="s">
        <v>4132</v>
      </c>
      <c r="J1042" s="100" t="s">
        <v>4133</v>
      </c>
    </row>
    <row r="1043">
      <c r="A1043" s="98"/>
      <c r="B1043" s="98" t="s">
        <v>4083</v>
      </c>
      <c r="C1043" s="99" t="s">
        <v>4134</v>
      </c>
      <c r="D1043" s="99" t="s">
        <v>40</v>
      </c>
      <c r="E1043" s="100" t="s">
        <v>4135</v>
      </c>
      <c r="F1043" s="101">
        <f t="shared" si="54"/>
        <v>2</v>
      </c>
      <c r="G1043" s="99" t="s">
        <v>4136</v>
      </c>
      <c r="H1043" s="99"/>
      <c r="I1043" s="100" t="s">
        <v>4137</v>
      </c>
      <c r="J1043" s="100" t="s">
        <v>4138</v>
      </c>
    </row>
    <row r="1044">
      <c r="A1044" s="98"/>
      <c r="B1044" s="98" t="s">
        <v>4083</v>
      </c>
      <c r="C1044" s="99" t="s">
        <v>4139</v>
      </c>
      <c r="D1044" s="99" t="s">
        <v>40</v>
      </c>
      <c r="E1044" s="100" t="s">
        <v>4140</v>
      </c>
      <c r="F1044" s="101">
        <f t="shared" si="54"/>
        <v>2</v>
      </c>
      <c r="G1044" s="99" t="s">
        <v>4141</v>
      </c>
      <c r="H1044" s="99"/>
      <c r="I1044" s="100" t="s">
        <v>4142</v>
      </c>
      <c r="J1044" s="100" t="s">
        <v>4143</v>
      </c>
    </row>
    <row r="1045">
      <c r="A1045" s="98"/>
      <c r="B1045" s="98" t="s">
        <v>4083</v>
      </c>
      <c r="C1045" s="99" t="s">
        <v>4144</v>
      </c>
      <c r="D1045" s="99" t="s">
        <v>16</v>
      </c>
      <c r="E1045" s="100" t="s">
        <v>4145</v>
      </c>
      <c r="F1045" s="101">
        <f t="shared" si="54"/>
        <v>2</v>
      </c>
      <c r="G1045" s="99" t="s">
        <v>4146</v>
      </c>
      <c r="H1045" s="99"/>
      <c r="I1045" s="100" t="s">
        <v>4147</v>
      </c>
      <c r="J1045" s="100" t="s">
        <v>4148</v>
      </c>
    </row>
    <row r="1046">
      <c r="A1046" s="33"/>
      <c r="B1046" s="33"/>
      <c r="C1046" s="12"/>
      <c r="D1046" s="12"/>
      <c r="E1046" s="15"/>
      <c r="F1046" s="14"/>
      <c r="G1046" s="12" t="s">
        <v>851</v>
      </c>
      <c r="H1046" s="12"/>
      <c r="I1046" s="88"/>
      <c r="J1046" s="88"/>
    </row>
    <row r="1047">
      <c r="A1047" s="98" t="s">
        <v>3421</v>
      </c>
      <c r="B1047" s="98" t="s">
        <v>4149</v>
      </c>
      <c r="C1047" s="99" t="s">
        <v>4150</v>
      </c>
      <c r="D1047" s="99" t="s">
        <v>40</v>
      </c>
      <c r="E1047" s="100" t="s">
        <v>4151</v>
      </c>
      <c r="F1047" s="101">
        <f t="shared" ref="F1047:F1057" si="55">counta(I1047:J1047)</f>
        <v>2</v>
      </c>
      <c r="G1047" s="99" t="s">
        <v>4152</v>
      </c>
      <c r="H1047" s="99"/>
      <c r="I1047" s="100" t="s">
        <v>4153</v>
      </c>
      <c r="J1047" s="100" t="s">
        <v>4154</v>
      </c>
    </row>
    <row r="1048">
      <c r="A1048" s="98"/>
      <c r="B1048" s="98" t="s">
        <v>4149</v>
      </c>
      <c r="C1048" s="99" t="s">
        <v>4155</v>
      </c>
      <c r="D1048" s="99" t="s">
        <v>40</v>
      </c>
      <c r="E1048" s="100" t="s">
        <v>4156</v>
      </c>
      <c r="F1048" s="101">
        <f t="shared" si="55"/>
        <v>2</v>
      </c>
      <c r="G1048" s="99" t="s">
        <v>4157</v>
      </c>
      <c r="H1048" s="99"/>
      <c r="I1048" s="100" t="s">
        <v>4158</v>
      </c>
      <c r="J1048" s="100" t="s">
        <v>4159</v>
      </c>
    </row>
    <row r="1049">
      <c r="A1049" s="98"/>
      <c r="B1049" s="98" t="s">
        <v>4149</v>
      </c>
      <c r="C1049" s="99" t="s">
        <v>4160</v>
      </c>
      <c r="D1049" s="99" t="s">
        <v>40</v>
      </c>
      <c r="E1049" s="100" t="s">
        <v>4161</v>
      </c>
      <c r="F1049" s="101">
        <f t="shared" si="55"/>
        <v>2</v>
      </c>
      <c r="G1049" s="99" t="s">
        <v>4162</v>
      </c>
      <c r="H1049" s="99"/>
      <c r="I1049" s="100" t="s">
        <v>4163</v>
      </c>
      <c r="J1049" s="100" t="s">
        <v>4164</v>
      </c>
    </row>
    <row r="1050">
      <c r="A1050" s="98"/>
      <c r="B1050" s="98" t="s">
        <v>4149</v>
      </c>
      <c r="C1050" s="99" t="s">
        <v>4165</v>
      </c>
      <c r="D1050" s="99" t="s">
        <v>40</v>
      </c>
      <c r="E1050" s="100" t="s">
        <v>4166</v>
      </c>
      <c r="F1050" s="101">
        <f t="shared" si="55"/>
        <v>2</v>
      </c>
      <c r="G1050" s="99" t="s">
        <v>4167</v>
      </c>
      <c r="H1050" s="99"/>
      <c r="I1050" s="100" t="s">
        <v>4168</v>
      </c>
      <c r="J1050" s="100" t="s">
        <v>4169</v>
      </c>
    </row>
    <row r="1051">
      <c r="A1051" s="98"/>
      <c r="B1051" s="98" t="s">
        <v>4149</v>
      </c>
      <c r="C1051" s="99" t="s">
        <v>4170</v>
      </c>
      <c r="D1051" s="99" t="s">
        <v>40</v>
      </c>
      <c r="E1051" s="100" t="s">
        <v>4171</v>
      </c>
      <c r="F1051" s="101">
        <f t="shared" si="55"/>
        <v>2</v>
      </c>
      <c r="G1051" s="99" t="s">
        <v>4172</v>
      </c>
      <c r="H1051" s="99"/>
      <c r="I1051" s="100" t="s">
        <v>4173</v>
      </c>
      <c r="J1051" s="100" t="s">
        <v>4174</v>
      </c>
    </row>
    <row r="1052">
      <c r="A1052" s="98"/>
      <c r="B1052" s="98" t="s">
        <v>4149</v>
      </c>
      <c r="C1052" s="99" t="s">
        <v>4175</v>
      </c>
      <c r="D1052" s="99" t="s">
        <v>40</v>
      </c>
      <c r="E1052" s="100" t="s">
        <v>4176</v>
      </c>
      <c r="F1052" s="101">
        <f t="shared" si="55"/>
        <v>2</v>
      </c>
      <c r="G1052" s="99" t="s">
        <v>4177</v>
      </c>
      <c r="H1052" s="99"/>
      <c r="I1052" s="100" t="s">
        <v>4178</v>
      </c>
      <c r="J1052" s="100" t="s">
        <v>4179</v>
      </c>
    </row>
    <row r="1053">
      <c r="A1053" s="98"/>
      <c r="B1053" s="98" t="s">
        <v>4149</v>
      </c>
      <c r="C1053" s="99" t="s">
        <v>4180</v>
      </c>
      <c r="D1053" s="99" t="s">
        <v>40</v>
      </c>
      <c r="E1053" s="100" t="s">
        <v>4181</v>
      </c>
      <c r="F1053" s="101">
        <f t="shared" si="55"/>
        <v>2</v>
      </c>
      <c r="G1053" s="99" t="s">
        <v>4182</v>
      </c>
      <c r="H1053" s="99"/>
      <c r="I1053" s="100" t="s">
        <v>4183</v>
      </c>
      <c r="J1053" s="100" t="s">
        <v>4184</v>
      </c>
    </row>
    <row r="1054">
      <c r="A1054" s="98"/>
      <c r="B1054" s="98" t="s">
        <v>4149</v>
      </c>
      <c r="C1054" s="99" t="s">
        <v>4185</v>
      </c>
      <c r="D1054" s="99" t="s">
        <v>40</v>
      </c>
      <c r="E1054" s="100" t="s">
        <v>4186</v>
      </c>
      <c r="F1054" s="101">
        <f t="shared" si="55"/>
        <v>2</v>
      </c>
      <c r="G1054" s="99" t="s">
        <v>4187</v>
      </c>
      <c r="H1054" s="99"/>
      <c r="I1054" s="100" t="s">
        <v>4188</v>
      </c>
      <c r="J1054" s="100" t="s">
        <v>4189</v>
      </c>
    </row>
    <row r="1055">
      <c r="A1055" s="98"/>
      <c r="B1055" s="98" t="s">
        <v>4149</v>
      </c>
      <c r="C1055" s="99" t="s">
        <v>4190</v>
      </c>
      <c r="D1055" s="99" t="s">
        <v>40</v>
      </c>
      <c r="E1055" s="100" t="s">
        <v>4191</v>
      </c>
      <c r="F1055" s="101">
        <f t="shared" si="55"/>
        <v>2</v>
      </c>
      <c r="G1055" s="99" t="s">
        <v>4192</v>
      </c>
      <c r="H1055" s="99"/>
      <c r="I1055" s="100" t="s">
        <v>4193</v>
      </c>
      <c r="J1055" s="100" t="s">
        <v>4194</v>
      </c>
    </row>
    <row r="1056">
      <c r="A1056" s="98"/>
      <c r="B1056" s="98" t="s">
        <v>4149</v>
      </c>
      <c r="C1056" s="99" t="s">
        <v>4195</v>
      </c>
      <c r="D1056" s="99" t="s">
        <v>26</v>
      </c>
      <c r="E1056" s="100" t="s">
        <v>4196</v>
      </c>
      <c r="F1056" s="101">
        <f t="shared" si="55"/>
        <v>2</v>
      </c>
      <c r="G1056" s="99" t="s">
        <v>4197</v>
      </c>
      <c r="H1056" s="99"/>
      <c r="I1056" s="100" t="s">
        <v>4198</v>
      </c>
      <c r="J1056" s="100" t="s">
        <v>4199</v>
      </c>
    </row>
    <row r="1057">
      <c r="A1057" s="98"/>
      <c r="B1057" s="98" t="s">
        <v>4149</v>
      </c>
      <c r="C1057" s="99" t="s">
        <v>4200</v>
      </c>
      <c r="D1057" s="99" t="s">
        <v>145</v>
      </c>
      <c r="E1057" s="100" t="s">
        <v>4201</v>
      </c>
      <c r="F1057" s="101">
        <f t="shared" si="55"/>
        <v>2</v>
      </c>
      <c r="G1057" s="99" t="s">
        <v>4202</v>
      </c>
      <c r="H1057" s="99"/>
      <c r="I1057" s="100" t="s">
        <v>4203</v>
      </c>
      <c r="J1057" s="100" t="s">
        <v>4204</v>
      </c>
    </row>
    <row r="1058">
      <c r="A1058" s="33"/>
      <c r="B1058" s="33"/>
      <c r="C1058" s="12"/>
      <c r="D1058" s="12"/>
      <c r="E1058" s="15"/>
      <c r="F1058" s="14"/>
      <c r="G1058" s="12"/>
      <c r="H1058" s="12"/>
      <c r="I1058" s="15"/>
      <c r="J1058" s="15"/>
    </row>
    <row r="1059">
      <c r="A1059" s="119" t="s">
        <v>4205</v>
      </c>
      <c r="B1059" s="120" t="s">
        <v>11</v>
      </c>
      <c r="C1059" s="121" t="s">
        <v>4206</v>
      </c>
      <c r="D1059" s="121" t="s">
        <v>12</v>
      </c>
      <c r="E1059" s="122" t="s">
        <v>12</v>
      </c>
      <c r="F1059" s="123">
        <f t="shared" ref="F1059:F1067" si="56">counta(I1059:J1059)</f>
        <v>2</v>
      </c>
      <c r="G1059" s="121" t="s">
        <v>4207</v>
      </c>
      <c r="H1059" s="124"/>
      <c r="I1059" s="122" t="s">
        <v>14</v>
      </c>
      <c r="J1059" s="122" t="s">
        <v>14</v>
      </c>
      <c r="K1059" s="125"/>
      <c r="L1059" s="125"/>
    </row>
    <row r="1060">
      <c r="A1060" s="119"/>
      <c r="B1060" s="120" t="s">
        <v>11</v>
      </c>
      <c r="C1060" s="121" t="s">
        <v>21</v>
      </c>
      <c r="D1060" s="121" t="s">
        <v>16</v>
      </c>
      <c r="E1060" s="122" t="s">
        <v>4208</v>
      </c>
      <c r="F1060" s="123">
        <f t="shared" si="56"/>
        <v>2</v>
      </c>
      <c r="G1060" s="121" t="s">
        <v>23</v>
      </c>
      <c r="H1060" s="124"/>
      <c r="I1060" s="122" t="s">
        <v>24</v>
      </c>
      <c r="J1060" s="122" t="s">
        <v>24</v>
      </c>
      <c r="K1060" s="125"/>
      <c r="L1060" s="125"/>
    </row>
    <row r="1061">
      <c r="A1061" s="119"/>
      <c r="B1061" s="119" t="s">
        <v>4205</v>
      </c>
      <c r="C1061" s="121" t="s">
        <v>25</v>
      </c>
      <c r="D1061" s="121" t="s">
        <v>26</v>
      </c>
      <c r="E1061" s="122" t="s">
        <v>27</v>
      </c>
      <c r="F1061" s="123">
        <f t="shared" si="56"/>
        <v>2</v>
      </c>
      <c r="G1061" s="121" t="s">
        <v>28</v>
      </c>
      <c r="H1061" s="124"/>
      <c r="I1061" s="122" t="s">
        <v>29</v>
      </c>
      <c r="J1061" s="122" t="s">
        <v>29</v>
      </c>
      <c r="K1061" s="125"/>
      <c r="L1061" s="125"/>
    </row>
    <row r="1062">
      <c r="A1062" s="119"/>
      <c r="B1062" s="119" t="s">
        <v>4205</v>
      </c>
      <c r="C1062" s="121" t="s">
        <v>4209</v>
      </c>
      <c r="D1062" s="121" t="s">
        <v>26</v>
      </c>
      <c r="E1062" s="122" t="s">
        <v>4210</v>
      </c>
      <c r="F1062" s="123">
        <f t="shared" si="56"/>
        <v>2</v>
      </c>
      <c r="G1062" s="121" t="s">
        <v>4211</v>
      </c>
      <c r="H1062" s="124"/>
      <c r="I1062" s="122" t="s">
        <v>4212</v>
      </c>
      <c r="J1062" s="122" t="s">
        <v>4212</v>
      </c>
      <c r="K1062" s="125"/>
      <c r="L1062" s="125"/>
    </row>
    <row r="1063">
      <c r="A1063" s="119"/>
      <c r="B1063" s="119" t="s">
        <v>4205</v>
      </c>
      <c r="C1063" s="121" t="s">
        <v>30</v>
      </c>
      <c r="D1063" s="121" t="s">
        <v>31</v>
      </c>
      <c r="E1063" s="122" t="s">
        <v>32</v>
      </c>
      <c r="F1063" s="123">
        <f t="shared" si="56"/>
        <v>2</v>
      </c>
      <c r="G1063" s="121" t="s">
        <v>33</v>
      </c>
      <c r="H1063" s="124"/>
      <c r="I1063" s="122" t="s">
        <v>34</v>
      </c>
      <c r="J1063" s="122" t="s">
        <v>34</v>
      </c>
      <c r="K1063" s="125"/>
      <c r="L1063" s="125"/>
    </row>
    <row r="1064">
      <c r="A1064" s="119"/>
      <c r="B1064" s="120" t="s">
        <v>11</v>
      </c>
      <c r="C1064" s="121" t="s">
        <v>12</v>
      </c>
      <c r="D1064" s="121" t="s">
        <v>12</v>
      </c>
      <c r="E1064" s="122" t="s">
        <v>4213</v>
      </c>
      <c r="F1064" s="123">
        <f t="shared" si="56"/>
        <v>2</v>
      </c>
      <c r="G1064" s="121" t="s">
        <v>12</v>
      </c>
      <c r="H1064" s="124"/>
      <c r="I1064" s="122" t="s">
        <v>4214</v>
      </c>
      <c r="J1064" s="122" t="s">
        <v>4214</v>
      </c>
      <c r="K1064" s="125"/>
      <c r="L1064" s="125"/>
    </row>
    <row r="1065">
      <c r="A1065" s="119"/>
      <c r="B1065" s="120" t="s">
        <v>11</v>
      </c>
      <c r="C1065" s="121" t="s">
        <v>15</v>
      </c>
      <c r="D1065" s="121" t="s">
        <v>16</v>
      </c>
      <c r="E1065" s="122" t="s">
        <v>4215</v>
      </c>
      <c r="F1065" s="123">
        <f t="shared" si="56"/>
        <v>2</v>
      </c>
      <c r="G1065" s="121" t="s">
        <v>18</v>
      </c>
      <c r="H1065" s="124"/>
      <c r="I1065" s="122" t="s">
        <v>19</v>
      </c>
      <c r="J1065" s="122" t="s">
        <v>19</v>
      </c>
      <c r="K1065" s="125"/>
      <c r="L1065" s="125"/>
    </row>
    <row r="1066">
      <c r="A1066" s="119"/>
      <c r="B1066" s="120" t="s">
        <v>11</v>
      </c>
      <c r="C1066" s="121" t="s">
        <v>4216</v>
      </c>
      <c r="D1066" s="121" t="s">
        <v>16</v>
      </c>
      <c r="E1066" s="122" t="s">
        <v>4217</v>
      </c>
      <c r="F1066" s="123">
        <f t="shared" si="56"/>
        <v>2</v>
      </c>
      <c r="G1066" s="121" t="s">
        <v>4218</v>
      </c>
      <c r="H1066" s="124"/>
      <c r="I1066" s="122" t="s">
        <v>4219</v>
      </c>
      <c r="J1066" s="122" t="s">
        <v>4219</v>
      </c>
      <c r="K1066" s="125"/>
      <c r="L1066" s="125"/>
    </row>
    <row r="1067">
      <c r="A1067" s="119"/>
      <c r="B1067" s="119" t="s">
        <v>4205</v>
      </c>
      <c r="C1067" s="121" t="s">
        <v>4220</v>
      </c>
      <c r="D1067" s="121" t="s">
        <v>16</v>
      </c>
      <c r="E1067" s="122"/>
      <c r="F1067" s="123">
        <f t="shared" si="56"/>
        <v>0</v>
      </c>
      <c r="G1067" s="121" t="s">
        <v>4220</v>
      </c>
      <c r="H1067" s="124"/>
      <c r="I1067" s="122"/>
      <c r="J1067" s="122"/>
      <c r="K1067" s="125"/>
      <c r="L1067" s="125"/>
    </row>
    <row r="1068">
      <c r="A1068" s="33"/>
      <c r="B1068" s="33"/>
      <c r="C1068" s="12"/>
      <c r="D1068" s="12"/>
      <c r="E1068" s="61"/>
      <c r="F1068" s="14"/>
      <c r="G1068" s="12"/>
      <c r="H1068" s="118"/>
      <c r="I1068" s="61"/>
      <c r="J1068" s="61"/>
    </row>
    <row r="1069">
      <c r="A1069" s="119" t="s">
        <v>4205</v>
      </c>
      <c r="B1069" s="119" t="s">
        <v>4221</v>
      </c>
      <c r="C1069" s="121" t="s">
        <v>4222</v>
      </c>
      <c r="D1069" s="121" t="s">
        <v>26</v>
      </c>
      <c r="E1069" s="122" t="s">
        <v>4223</v>
      </c>
      <c r="F1069" s="123">
        <f t="shared" ref="F1069:F1141" si="57">counta(I1069:J1069)</f>
        <v>2</v>
      </c>
      <c r="G1069" s="121" t="s">
        <v>4224</v>
      </c>
      <c r="H1069" s="124"/>
      <c r="I1069" s="122" t="s">
        <v>4225</v>
      </c>
      <c r="J1069" s="122" t="s">
        <v>4225</v>
      </c>
      <c r="K1069" s="125"/>
      <c r="L1069" s="125"/>
    </row>
    <row r="1070">
      <c r="A1070" s="119"/>
      <c r="B1070" s="119" t="s">
        <v>4221</v>
      </c>
      <c r="C1070" s="121" t="s">
        <v>4226</v>
      </c>
      <c r="D1070" s="121" t="s">
        <v>26</v>
      </c>
      <c r="E1070" s="122" t="s">
        <v>4227</v>
      </c>
      <c r="F1070" s="123">
        <f t="shared" si="57"/>
        <v>2</v>
      </c>
      <c r="G1070" s="121" t="s">
        <v>4228</v>
      </c>
      <c r="H1070" s="124"/>
      <c r="I1070" s="122" t="s">
        <v>4229</v>
      </c>
      <c r="J1070" s="122" t="s">
        <v>4229</v>
      </c>
      <c r="K1070" s="125"/>
      <c r="L1070" s="125"/>
    </row>
    <row r="1071">
      <c r="A1071" s="119"/>
      <c r="B1071" s="119" t="s">
        <v>4221</v>
      </c>
      <c r="C1071" s="121" t="s">
        <v>4230</v>
      </c>
      <c r="D1071" s="121" t="s">
        <v>31</v>
      </c>
      <c r="E1071" s="122" t="s">
        <v>4231</v>
      </c>
      <c r="F1071" s="123">
        <f t="shared" si="57"/>
        <v>2</v>
      </c>
      <c r="G1071" s="121" t="s">
        <v>4232</v>
      </c>
      <c r="H1071" s="124"/>
      <c r="I1071" s="122" t="s">
        <v>4233</v>
      </c>
      <c r="J1071" s="122" t="s">
        <v>4233</v>
      </c>
      <c r="K1071" s="125"/>
      <c r="L1071" s="125"/>
    </row>
    <row r="1072">
      <c r="A1072" s="119"/>
      <c r="B1072" s="119" t="s">
        <v>4221</v>
      </c>
      <c r="C1072" s="121" t="s">
        <v>4234</v>
      </c>
      <c r="D1072" s="121" t="s">
        <v>31</v>
      </c>
      <c r="E1072" s="122" t="s">
        <v>4235</v>
      </c>
      <c r="F1072" s="123">
        <f t="shared" si="57"/>
        <v>2</v>
      </c>
      <c r="G1072" s="121" t="s">
        <v>4236</v>
      </c>
      <c r="H1072" s="124"/>
      <c r="I1072" s="122" t="s">
        <v>4237</v>
      </c>
      <c r="J1072" s="122" t="s">
        <v>4237</v>
      </c>
      <c r="K1072" s="125"/>
      <c r="L1072" s="125"/>
    </row>
    <row r="1073">
      <c r="A1073" s="119"/>
      <c r="B1073" s="119" t="s">
        <v>4221</v>
      </c>
      <c r="C1073" s="121" t="s">
        <v>4238</v>
      </c>
      <c r="D1073" s="121" t="s">
        <v>40</v>
      </c>
      <c r="E1073" s="122" t="s">
        <v>4239</v>
      </c>
      <c r="F1073" s="123">
        <f t="shared" si="57"/>
        <v>2</v>
      </c>
      <c r="G1073" s="121" t="s">
        <v>4240</v>
      </c>
      <c r="H1073" s="124"/>
      <c r="I1073" s="122" t="s">
        <v>4241</v>
      </c>
      <c r="J1073" s="122" t="s">
        <v>4241</v>
      </c>
      <c r="K1073" s="125"/>
      <c r="L1073" s="125"/>
    </row>
    <row r="1074">
      <c r="A1074" s="119"/>
      <c r="B1074" s="119" t="s">
        <v>4221</v>
      </c>
      <c r="C1074" s="121" t="s">
        <v>4242</v>
      </c>
      <c r="D1074" s="121" t="s">
        <v>4243</v>
      </c>
      <c r="E1074" s="122" t="s">
        <v>4244</v>
      </c>
      <c r="F1074" s="123">
        <f t="shared" si="57"/>
        <v>2</v>
      </c>
      <c r="G1074" s="121" t="s">
        <v>4245</v>
      </c>
      <c r="H1074" s="124"/>
      <c r="I1074" s="122" t="s">
        <v>4246</v>
      </c>
      <c r="J1074" s="122" t="s">
        <v>4246</v>
      </c>
      <c r="K1074" s="125"/>
      <c r="L1074" s="125"/>
    </row>
    <row r="1075">
      <c r="A1075" s="119"/>
      <c r="B1075" s="119" t="s">
        <v>4221</v>
      </c>
      <c r="C1075" s="121" t="s">
        <v>4247</v>
      </c>
      <c r="D1075" s="121" t="s">
        <v>4243</v>
      </c>
      <c r="E1075" s="122" t="s">
        <v>4248</v>
      </c>
      <c r="F1075" s="123">
        <f t="shared" si="57"/>
        <v>2</v>
      </c>
      <c r="G1075" s="121" t="s">
        <v>4249</v>
      </c>
      <c r="H1075" s="124"/>
      <c r="I1075" s="122" t="s">
        <v>4250</v>
      </c>
      <c r="J1075" s="122" t="s">
        <v>4250</v>
      </c>
      <c r="K1075" s="125"/>
      <c r="L1075" s="125"/>
    </row>
    <row r="1076">
      <c r="A1076" s="119"/>
      <c r="B1076" s="119" t="s">
        <v>4221</v>
      </c>
      <c r="C1076" s="121" t="s">
        <v>4251</v>
      </c>
      <c r="D1076" s="121" t="s">
        <v>260</v>
      </c>
      <c r="E1076" s="122" t="s">
        <v>4252</v>
      </c>
      <c r="F1076" s="123">
        <f t="shared" si="57"/>
        <v>2</v>
      </c>
      <c r="G1076" s="121" t="s">
        <v>4253</v>
      </c>
      <c r="H1076" s="124"/>
      <c r="I1076" s="122" t="s">
        <v>4254</v>
      </c>
      <c r="J1076" s="122" t="s">
        <v>4254</v>
      </c>
      <c r="K1076" s="125"/>
      <c r="L1076" s="125"/>
    </row>
    <row r="1077">
      <c r="A1077" s="119"/>
      <c r="B1077" s="119" t="s">
        <v>4221</v>
      </c>
      <c r="C1077" s="121" t="s">
        <v>4255</v>
      </c>
      <c r="D1077" s="121" t="s">
        <v>4256</v>
      </c>
      <c r="E1077" s="122" t="s">
        <v>4257</v>
      </c>
      <c r="F1077" s="123">
        <f t="shared" si="57"/>
        <v>2</v>
      </c>
      <c r="G1077" s="121" t="s">
        <v>4258</v>
      </c>
      <c r="H1077" s="124"/>
      <c r="I1077" s="122" t="s">
        <v>4259</v>
      </c>
      <c r="J1077" s="122" t="s">
        <v>4259</v>
      </c>
      <c r="K1077" s="125"/>
      <c r="L1077" s="125"/>
    </row>
    <row r="1078">
      <c r="A1078" s="119"/>
      <c r="B1078" s="119" t="s">
        <v>4221</v>
      </c>
      <c r="C1078" s="121" t="s">
        <v>4260</v>
      </c>
      <c r="D1078" s="121" t="s">
        <v>31</v>
      </c>
      <c r="E1078" s="122" t="s">
        <v>4261</v>
      </c>
      <c r="F1078" s="123">
        <f t="shared" si="57"/>
        <v>2</v>
      </c>
      <c r="G1078" s="121" t="s">
        <v>4262</v>
      </c>
      <c r="H1078" s="124"/>
      <c r="I1078" s="122" t="s">
        <v>4263</v>
      </c>
      <c r="J1078" s="122" t="s">
        <v>4263</v>
      </c>
      <c r="K1078" s="125"/>
      <c r="L1078" s="125"/>
    </row>
    <row r="1079">
      <c r="A1079" s="119"/>
      <c r="B1079" s="119" t="s">
        <v>4221</v>
      </c>
      <c r="C1079" s="121" t="s">
        <v>4264</v>
      </c>
      <c r="D1079" s="121" t="s">
        <v>40</v>
      </c>
      <c r="E1079" s="122" t="s">
        <v>4265</v>
      </c>
      <c r="F1079" s="123">
        <f t="shared" si="57"/>
        <v>2</v>
      </c>
      <c r="G1079" s="121" t="s">
        <v>4266</v>
      </c>
      <c r="H1079" s="124"/>
      <c r="I1079" s="122" t="s">
        <v>4267</v>
      </c>
      <c r="J1079" s="122" t="s">
        <v>4267</v>
      </c>
      <c r="K1079" s="125"/>
      <c r="L1079" s="125"/>
    </row>
    <row r="1080">
      <c r="A1080" s="119"/>
      <c r="B1080" s="119" t="s">
        <v>4221</v>
      </c>
      <c r="C1080" s="121" t="s">
        <v>4268</v>
      </c>
      <c r="D1080" s="121" t="s">
        <v>266</v>
      </c>
      <c r="E1080" s="122" t="s">
        <v>4269</v>
      </c>
      <c r="F1080" s="123">
        <f t="shared" si="57"/>
        <v>2</v>
      </c>
      <c r="G1080" s="121" t="s">
        <v>4270</v>
      </c>
      <c r="H1080" s="124"/>
      <c r="I1080" s="122" t="s">
        <v>4271</v>
      </c>
      <c r="J1080" s="122" t="s">
        <v>4271</v>
      </c>
      <c r="K1080" s="125"/>
      <c r="L1080" s="125"/>
    </row>
    <row r="1081">
      <c r="A1081" s="119"/>
      <c r="B1081" s="119" t="s">
        <v>4221</v>
      </c>
      <c r="C1081" s="121" t="s">
        <v>4272</v>
      </c>
      <c r="D1081" s="121" t="s">
        <v>266</v>
      </c>
      <c r="E1081" s="122" t="s">
        <v>4273</v>
      </c>
      <c r="F1081" s="123">
        <f t="shared" si="57"/>
        <v>2</v>
      </c>
      <c r="G1081" s="121" t="s">
        <v>4274</v>
      </c>
      <c r="H1081" s="124"/>
      <c r="I1081" s="122" t="s">
        <v>4275</v>
      </c>
      <c r="J1081" s="122" t="s">
        <v>4275</v>
      </c>
      <c r="K1081" s="125"/>
      <c r="L1081" s="125"/>
    </row>
    <row r="1082">
      <c r="A1082" s="119"/>
      <c r="B1082" s="119" t="s">
        <v>4221</v>
      </c>
      <c r="C1082" s="121" t="s">
        <v>4276</v>
      </c>
      <c r="D1082" s="121" t="s">
        <v>40</v>
      </c>
      <c r="E1082" s="122" t="s">
        <v>4277</v>
      </c>
      <c r="F1082" s="123">
        <f t="shared" si="57"/>
        <v>2</v>
      </c>
      <c r="G1082" s="121" t="s">
        <v>4278</v>
      </c>
      <c r="H1082" s="124"/>
      <c r="I1082" s="122" t="s">
        <v>4279</v>
      </c>
      <c r="J1082" s="122" t="s">
        <v>4279</v>
      </c>
      <c r="K1082" s="125"/>
      <c r="L1082" s="125"/>
    </row>
    <row r="1083">
      <c r="A1083" s="119"/>
      <c r="B1083" s="119" t="s">
        <v>4221</v>
      </c>
      <c r="C1083" s="121" t="s">
        <v>4280</v>
      </c>
      <c r="D1083" s="121" t="s">
        <v>40</v>
      </c>
      <c r="E1083" s="122" t="s">
        <v>4281</v>
      </c>
      <c r="F1083" s="123">
        <f t="shared" si="57"/>
        <v>2</v>
      </c>
      <c r="G1083" s="121" t="s">
        <v>4282</v>
      </c>
      <c r="H1083" s="124"/>
      <c r="I1083" s="122" t="s">
        <v>4283</v>
      </c>
      <c r="J1083" s="122" t="s">
        <v>4283</v>
      </c>
      <c r="K1083" s="125"/>
      <c r="L1083" s="125"/>
    </row>
    <row r="1084">
      <c r="A1084" s="119"/>
      <c r="B1084" s="119" t="s">
        <v>4221</v>
      </c>
      <c r="C1084" s="121" t="s">
        <v>4284</v>
      </c>
      <c r="D1084" s="121" t="s">
        <v>40</v>
      </c>
      <c r="E1084" s="122" t="s">
        <v>4285</v>
      </c>
      <c r="F1084" s="123">
        <f t="shared" si="57"/>
        <v>2</v>
      </c>
      <c r="G1084" s="121" t="s">
        <v>4286</v>
      </c>
      <c r="H1084" s="124"/>
      <c r="I1084" s="122" t="s">
        <v>4287</v>
      </c>
      <c r="J1084" s="122" t="s">
        <v>4287</v>
      </c>
      <c r="K1084" s="125"/>
      <c r="L1084" s="125"/>
    </row>
    <row r="1085">
      <c r="A1085" s="119"/>
      <c r="B1085" s="119" t="s">
        <v>4221</v>
      </c>
      <c r="C1085" s="121" t="s">
        <v>4288</v>
      </c>
      <c r="D1085" s="121" t="s">
        <v>40</v>
      </c>
      <c r="E1085" s="122" t="s">
        <v>4289</v>
      </c>
      <c r="F1085" s="123">
        <f t="shared" si="57"/>
        <v>2</v>
      </c>
      <c r="G1085" s="121" t="s">
        <v>4290</v>
      </c>
      <c r="H1085" s="124"/>
      <c r="I1085" s="122" t="s">
        <v>4291</v>
      </c>
      <c r="J1085" s="122" t="s">
        <v>4291</v>
      </c>
      <c r="K1085" s="125"/>
      <c r="L1085" s="125"/>
    </row>
    <row r="1086">
      <c r="A1086" s="119"/>
      <c r="B1086" s="119" t="s">
        <v>4221</v>
      </c>
      <c r="C1086" s="121" t="s">
        <v>4292</v>
      </c>
      <c r="D1086" s="121" t="s">
        <v>4293</v>
      </c>
      <c r="E1086" s="122" t="s">
        <v>4294</v>
      </c>
      <c r="F1086" s="123">
        <f t="shared" si="57"/>
        <v>1</v>
      </c>
      <c r="G1086" s="121" t="s">
        <v>4295</v>
      </c>
      <c r="H1086" s="124"/>
      <c r="I1086" s="122" t="s">
        <v>4296</v>
      </c>
      <c r="J1086" s="125"/>
      <c r="K1086" s="125"/>
      <c r="L1086" s="125"/>
    </row>
    <row r="1087">
      <c r="A1087" s="119"/>
      <c r="B1087" s="119" t="s">
        <v>4221</v>
      </c>
      <c r="C1087" s="121" t="s">
        <v>4297</v>
      </c>
      <c r="D1087" s="121" t="s">
        <v>272</v>
      </c>
      <c r="E1087" s="122" t="s">
        <v>4298</v>
      </c>
      <c r="F1087" s="123">
        <f t="shared" si="57"/>
        <v>2</v>
      </c>
      <c r="G1087" s="121" t="s">
        <v>4299</v>
      </c>
      <c r="H1087" s="124"/>
      <c r="I1087" s="122" t="s">
        <v>4300</v>
      </c>
      <c r="J1087" s="122" t="s">
        <v>4300</v>
      </c>
      <c r="K1087" s="125"/>
      <c r="L1087" s="125"/>
    </row>
    <row r="1088">
      <c r="A1088" s="119"/>
      <c r="B1088" s="119" t="s">
        <v>4221</v>
      </c>
      <c r="C1088" s="121" t="s">
        <v>4301</v>
      </c>
      <c r="D1088" s="121" t="s">
        <v>4302</v>
      </c>
      <c r="E1088" s="122" t="s">
        <v>4303</v>
      </c>
      <c r="F1088" s="123">
        <f t="shared" si="57"/>
        <v>2</v>
      </c>
      <c r="G1088" s="121" t="s">
        <v>4304</v>
      </c>
      <c r="H1088" s="124"/>
      <c r="I1088" s="122" t="s">
        <v>4305</v>
      </c>
      <c r="J1088" s="122" t="s">
        <v>4305</v>
      </c>
      <c r="K1088" s="125"/>
      <c r="L1088" s="125"/>
    </row>
    <row r="1089">
      <c r="A1089" s="119"/>
      <c r="B1089" s="119" t="s">
        <v>4221</v>
      </c>
      <c r="C1089" s="121" t="s">
        <v>4306</v>
      </c>
      <c r="D1089" s="121" t="s">
        <v>16</v>
      </c>
      <c r="E1089" s="122" t="s">
        <v>4307</v>
      </c>
      <c r="F1089" s="123">
        <f t="shared" si="57"/>
        <v>2</v>
      </c>
      <c r="G1089" s="121" t="s">
        <v>4308</v>
      </c>
      <c r="H1089" s="124"/>
      <c r="I1089" s="122" t="s">
        <v>4309</v>
      </c>
      <c r="J1089" s="122" t="s">
        <v>4309</v>
      </c>
      <c r="K1089" s="125"/>
      <c r="L1089" s="125"/>
    </row>
    <row r="1090">
      <c r="A1090" s="119"/>
      <c r="B1090" s="119" t="s">
        <v>4221</v>
      </c>
      <c r="C1090" s="121" t="s">
        <v>4310</v>
      </c>
      <c r="D1090" s="121" t="s">
        <v>40</v>
      </c>
      <c r="E1090" s="122" t="s">
        <v>4311</v>
      </c>
      <c r="F1090" s="123">
        <f t="shared" si="57"/>
        <v>2</v>
      </c>
      <c r="G1090" s="121" t="s">
        <v>4312</v>
      </c>
      <c r="H1090" s="124"/>
      <c r="I1090" s="122" t="s">
        <v>4313</v>
      </c>
      <c r="J1090" s="122" t="s">
        <v>4313</v>
      </c>
      <c r="K1090" s="125"/>
      <c r="L1090" s="125"/>
    </row>
    <row r="1091">
      <c r="A1091" s="119"/>
      <c r="B1091" s="119" t="s">
        <v>4221</v>
      </c>
      <c r="C1091" s="121" t="s">
        <v>4314</v>
      </c>
      <c r="D1091" s="121" t="s">
        <v>4302</v>
      </c>
      <c r="E1091" s="122" t="s">
        <v>4315</v>
      </c>
      <c r="F1091" s="123">
        <f t="shared" si="57"/>
        <v>2</v>
      </c>
      <c r="G1091" s="121" t="s">
        <v>4316</v>
      </c>
      <c r="H1091" s="124"/>
      <c r="I1091" s="122" t="s">
        <v>4317</v>
      </c>
      <c r="J1091" s="122" t="s">
        <v>4317</v>
      </c>
      <c r="K1091" s="125"/>
      <c r="L1091" s="125"/>
    </row>
    <row r="1092">
      <c r="A1092" s="119"/>
      <c r="B1092" s="119" t="s">
        <v>4221</v>
      </c>
      <c r="C1092" s="121" t="s">
        <v>4318</v>
      </c>
      <c r="D1092" s="121" t="s">
        <v>16</v>
      </c>
      <c r="E1092" s="122" t="s">
        <v>4319</v>
      </c>
      <c r="F1092" s="123">
        <f t="shared" si="57"/>
        <v>2</v>
      </c>
      <c r="G1092" s="121" t="s">
        <v>4320</v>
      </c>
      <c r="H1092" s="124"/>
      <c r="I1092" s="122" t="s">
        <v>4321</v>
      </c>
      <c r="J1092" s="122" t="s">
        <v>4321</v>
      </c>
      <c r="K1092" s="125"/>
      <c r="L1092" s="125"/>
    </row>
    <row r="1093">
      <c r="A1093" s="119"/>
      <c r="B1093" s="119" t="s">
        <v>4221</v>
      </c>
      <c r="C1093" s="121" t="s">
        <v>4322</v>
      </c>
      <c r="D1093" s="121" t="s">
        <v>31</v>
      </c>
      <c r="E1093" s="122" t="s">
        <v>4323</v>
      </c>
      <c r="F1093" s="123">
        <f t="shared" si="57"/>
        <v>2</v>
      </c>
      <c r="G1093" s="121" t="s">
        <v>4324</v>
      </c>
      <c r="H1093" s="124"/>
      <c r="I1093" s="122" t="s">
        <v>4325</v>
      </c>
      <c r="J1093" s="122" t="s">
        <v>4325</v>
      </c>
      <c r="K1093" s="125"/>
      <c r="L1093" s="125"/>
    </row>
    <row r="1094">
      <c r="A1094" s="119"/>
      <c r="B1094" s="119" t="s">
        <v>4221</v>
      </c>
      <c r="C1094" s="121" t="s">
        <v>4326</v>
      </c>
      <c r="D1094" s="121" t="s">
        <v>31</v>
      </c>
      <c r="E1094" s="122" t="s">
        <v>4327</v>
      </c>
      <c r="F1094" s="123">
        <f t="shared" si="57"/>
        <v>1</v>
      </c>
      <c r="G1094" s="121" t="s">
        <v>4326</v>
      </c>
      <c r="H1094" s="124"/>
      <c r="I1094" s="122" t="s">
        <v>4328</v>
      </c>
      <c r="J1094" s="125"/>
      <c r="K1094" s="125"/>
      <c r="L1094" s="125"/>
    </row>
    <row r="1095">
      <c r="A1095" s="119"/>
      <c r="B1095" s="119" t="s">
        <v>4221</v>
      </c>
      <c r="C1095" s="121" t="s">
        <v>4329</v>
      </c>
      <c r="D1095" s="121" t="s">
        <v>4330</v>
      </c>
      <c r="E1095" s="122" t="s">
        <v>4331</v>
      </c>
      <c r="F1095" s="123">
        <f t="shared" si="57"/>
        <v>2</v>
      </c>
      <c r="G1095" s="121" t="s">
        <v>4332</v>
      </c>
      <c r="H1095" s="124"/>
      <c r="I1095" s="122" t="s">
        <v>4333</v>
      </c>
      <c r="J1095" s="122" t="s">
        <v>4333</v>
      </c>
      <c r="K1095" s="125"/>
      <c r="L1095" s="125"/>
    </row>
    <row r="1096">
      <c r="A1096" s="119"/>
      <c r="B1096" s="119" t="s">
        <v>4221</v>
      </c>
      <c r="C1096" s="121" t="s">
        <v>4334</v>
      </c>
      <c r="D1096" s="121" t="s">
        <v>40</v>
      </c>
      <c r="E1096" s="122" t="s">
        <v>4335</v>
      </c>
      <c r="F1096" s="123">
        <f t="shared" si="57"/>
        <v>2</v>
      </c>
      <c r="G1096" s="121" t="s">
        <v>4336</v>
      </c>
      <c r="H1096" s="124"/>
      <c r="I1096" s="122" t="s">
        <v>4337</v>
      </c>
      <c r="J1096" s="122" t="s">
        <v>4337</v>
      </c>
      <c r="K1096" s="125"/>
      <c r="L1096" s="125"/>
    </row>
    <row r="1097">
      <c r="A1097" s="119"/>
      <c r="B1097" s="119" t="s">
        <v>4221</v>
      </c>
      <c r="C1097" s="121" t="s">
        <v>4338</v>
      </c>
      <c r="D1097" s="121" t="s">
        <v>4330</v>
      </c>
      <c r="E1097" s="122" t="s">
        <v>4339</v>
      </c>
      <c r="F1097" s="123">
        <f t="shared" si="57"/>
        <v>2</v>
      </c>
      <c r="G1097" s="121" t="s">
        <v>4340</v>
      </c>
      <c r="H1097" s="124"/>
      <c r="I1097" s="122" t="s">
        <v>4341</v>
      </c>
      <c r="J1097" s="122" t="s">
        <v>4341</v>
      </c>
      <c r="K1097" s="125"/>
      <c r="L1097" s="125"/>
    </row>
    <row r="1098">
      <c r="A1098" s="119"/>
      <c r="B1098" s="119" t="s">
        <v>4221</v>
      </c>
      <c r="C1098" s="121" t="s">
        <v>4342</v>
      </c>
      <c r="D1098" s="121" t="s">
        <v>40</v>
      </c>
      <c r="E1098" s="122" t="s">
        <v>4343</v>
      </c>
      <c r="F1098" s="123">
        <f t="shared" si="57"/>
        <v>2</v>
      </c>
      <c r="G1098" s="121" t="s">
        <v>4344</v>
      </c>
      <c r="H1098" s="124"/>
      <c r="I1098" s="122" t="s">
        <v>4345</v>
      </c>
      <c r="J1098" s="122" t="s">
        <v>4345</v>
      </c>
      <c r="K1098" s="125"/>
      <c r="L1098" s="125"/>
    </row>
    <row r="1099">
      <c r="A1099" s="119"/>
      <c r="B1099" s="119" t="s">
        <v>4221</v>
      </c>
      <c r="C1099" s="121" t="s">
        <v>4346</v>
      </c>
      <c r="D1099" s="121" t="s">
        <v>4330</v>
      </c>
      <c r="E1099" s="122" t="s">
        <v>4347</v>
      </c>
      <c r="F1099" s="123">
        <f t="shared" si="57"/>
        <v>2</v>
      </c>
      <c r="G1099" s="121" t="s">
        <v>4348</v>
      </c>
      <c r="H1099" s="124"/>
      <c r="I1099" s="122" t="s">
        <v>4349</v>
      </c>
      <c r="J1099" s="122" t="s">
        <v>4349</v>
      </c>
      <c r="K1099" s="125"/>
      <c r="L1099" s="125"/>
    </row>
    <row r="1100">
      <c r="A1100" s="119"/>
      <c r="B1100" s="119" t="s">
        <v>4221</v>
      </c>
      <c r="C1100" s="121" t="s">
        <v>4350</v>
      </c>
      <c r="D1100" s="121" t="s">
        <v>40</v>
      </c>
      <c r="E1100" s="122" t="s">
        <v>4351</v>
      </c>
      <c r="F1100" s="123">
        <f t="shared" si="57"/>
        <v>2</v>
      </c>
      <c r="G1100" s="121" t="s">
        <v>4352</v>
      </c>
      <c r="H1100" s="124"/>
      <c r="I1100" s="122" t="s">
        <v>4353</v>
      </c>
      <c r="J1100" s="122" t="s">
        <v>4353</v>
      </c>
      <c r="K1100" s="125"/>
      <c r="L1100" s="125"/>
    </row>
    <row r="1101">
      <c r="A1101" s="119"/>
      <c r="B1101" s="119" t="s">
        <v>4221</v>
      </c>
      <c r="C1101" s="121" t="s">
        <v>4354</v>
      </c>
      <c r="D1101" s="121" t="s">
        <v>4330</v>
      </c>
      <c r="E1101" s="122" t="s">
        <v>4355</v>
      </c>
      <c r="F1101" s="123">
        <f t="shared" si="57"/>
        <v>2</v>
      </c>
      <c r="G1101" s="121" t="s">
        <v>4356</v>
      </c>
      <c r="H1101" s="124"/>
      <c r="I1101" s="122" t="s">
        <v>4357</v>
      </c>
      <c r="J1101" s="122" t="s">
        <v>4357</v>
      </c>
      <c r="K1101" s="125"/>
      <c r="L1101" s="125"/>
    </row>
    <row r="1102">
      <c r="A1102" s="119"/>
      <c r="B1102" s="119" t="s">
        <v>4221</v>
      </c>
      <c r="C1102" s="121" t="s">
        <v>4358</v>
      </c>
      <c r="D1102" s="121" t="s">
        <v>40</v>
      </c>
      <c r="E1102" s="122" t="s">
        <v>4359</v>
      </c>
      <c r="F1102" s="123">
        <f t="shared" si="57"/>
        <v>2</v>
      </c>
      <c r="G1102" s="121" t="s">
        <v>4360</v>
      </c>
      <c r="H1102" s="124"/>
      <c r="I1102" s="122" t="s">
        <v>4361</v>
      </c>
      <c r="J1102" s="122" t="s">
        <v>4361</v>
      </c>
      <c r="K1102" s="125"/>
      <c r="L1102" s="125"/>
    </row>
    <row r="1103">
      <c r="A1103" s="119"/>
      <c r="B1103" s="119" t="s">
        <v>4221</v>
      </c>
      <c r="C1103" s="121" t="s">
        <v>4362</v>
      </c>
      <c r="D1103" s="121" t="s">
        <v>4330</v>
      </c>
      <c r="E1103" s="122" t="s">
        <v>4363</v>
      </c>
      <c r="F1103" s="123">
        <f t="shared" si="57"/>
        <v>2</v>
      </c>
      <c r="G1103" s="121" t="s">
        <v>4364</v>
      </c>
      <c r="H1103" s="124"/>
      <c r="I1103" s="122" t="s">
        <v>4365</v>
      </c>
      <c r="J1103" s="122" t="s">
        <v>4365</v>
      </c>
      <c r="K1103" s="125"/>
      <c r="L1103" s="125"/>
    </row>
    <row r="1104">
      <c r="A1104" s="119"/>
      <c r="B1104" s="119" t="s">
        <v>4221</v>
      </c>
      <c r="C1104" s="121" t="s">
        <v>4366</v>
      </c>
      <c r="D1104" s="121" t="s">
        <v>40</v>
      </c>
      <c r="E1104" s="122" t="s">
        <v>4367</v>
      </c>
      <c r="F1104" s="123">
        <f t="shared" si="57"/>
        <v>2</v>
      </c>
      <c r="G1104" s="121" t="s">
        <v>4368</v>
      </c>
      <c r="H1104" s="124"/>
      <c r="I1104" s="122" t="s">
        <v>4369</v>
      </c>
      <c r="J1104" s="122" t="s">
        <v>4369</v>
      </c>
      <c r="K1104" s="125"/>
      <c r="L1104" s="125"/>
    </row>
    <row r="1105">
      <c r="A1105" s="119"/>
      <c r="B1105" s="119" t="s">
        <v>4221</v>
      </c>
      <c r="C1105" s="121" t="s">
        <v>4370</v>
      </c>
      <c r="D1105" s="121" t="s">
        <v>4330</v>
      </c>
      <c r="E1105" s="122" t="s">
        <v>4371</v>
      </c>
      <c r="F1105" s="123">
        <f t="shared" si="57"/>
        <v>2</v>
      </c>
      <c r="G1105" s="121" t="s">
        <v>4372</v>
      </c>
      <c r="H1105" s="124"/>
      <c r="I1105" s="122" t="s">
        <v>4373</v>
      </c>
      <c r="J1105" s="122" t="s">
        <v>4373</v>
      </c>
      <c r="K1105" s="125"/>
      <c r="L1105" s="125"/>
    </row>
    <row r="1106">
      <c r="A1106" s="119"/>
      <c r="B1106" s="119" t="s">
        <v>4221</v>
      </c>
      <c r="C1106" s="121" t="s">
        <v>4374</v>
      </c>
      <c r="D1106" s="121" t="s">
        <v>40</v>
      </c>
      <c r="E1106" s="122" t="s">
        <v>4375</v>
      </c>
      <c r="F1106" s="123">
        <f t="shared" si="57"/>
        <v>2</v>
      </c>
      <c r="G1106" s="121" t="s">
        <v>4376</v>
      </c>
      <c r="H1106" s="124"/>
      <c r="I1106" s="122" t="s">
        <v>4377</v>
      </c>
      <c r="J1106" s="122" t="s">
        <v>4377</v>
      </c>
      <c r="K1106" s="125"/>
      <c r="L1106" s="125"/>
    </row>
    <row r="1107">
      <c r="A1107" s="119"/>
      <c r="B1107" s="119" t="s">
        <v>4221</v>
      </c>
      <c r="C1107" s="121" t="s">
        <v>4378</v>
      </c>
      <c r="D1107" s="121" t="s">
        <v>4330</v>
      </c>
      <c r="E1107" s="122" t="s">
        <v>4379</v>
      </c>
      <c r="F1107" s="123">
        <f t="shared" si="57"/>
        <v>1</v>
      </c>
      <c r="G1107" s="121" t="s">
        <v>4380</v>
      </c>
      <c r="H1107" s="124"/>
      <c r="I1107" s="122" t="s">
        <v>4381</v>
      </c>
      <c r="J1107" s="125"/>
      <c r="K1107" s="125"/>
      <c r="L1107" s="125"/>
    </row>
    <row r="1108">
      <c r="A1108" s="119"/>
      <c r="B1108" s="119" t="s">
        <v>4221</v>
      </c>
      <c r="C1108" s="121" t="s">
        <v>4382</v>
      </c>
      <c r="D1108" s="121" t="s">
        <v>40</v>
      </c>
      <c r="E1108" s="122" t="s">
        <v>4383</v>
      </c>
      <c r="F1108" s="123">
        <f t="shared" si="57"/>
        <v>1</v>
      </c>
      <c r="G1108" s="121" t="s">
        <v>4384</v>
      </c>
      <c r="H1108" s="124"/>
      <c r="I1108" s="122" t="s">
        <v>4385</v>
      </c>
      <c r="J1108" s="125"/>
      <c r="K1108" s="125"/>
      <c r="L1108" s="125"/>
    </row>
    <row r="1109">
      <c r="A1109" s="119"/>
      <c r="B1109" s="119" t="s">
        <v>4221</v>
      </c>
      <c r="C1109" s="121" t="s">
        <v>4386</v>
      </c>
      <c r="D1109" s="121" t="s">
        <v>4330</v>
      </c>
      <c r="E1109" s="122" t="s">
        <v>4387</v>
      </c>
      <c r="F1109" s="123">
        <f t="shared" si="57"/>
        <v>2</v>
      </c>
      <c r="G1109" s="121" t="s">
        <v>4388</v>
      </c>
      <c r="H1109" s="124"/>
      <c r="I1109" s="122" t="s">
        <v>4389</v>
      </c>
      <c r="J1109" s="122" t="s">
        <v>4389</v>
      </c>
      <c r="K1109" s="125"/>
      <c r="L1109" s="125"/>
    </row>
    <row r="1110">
      <c r="A1110" s="119"/>
      <c r="B1110" s="119" t="s">
        <v>4221</v>
      </c>
      <c r="C1110" s="121" t="s">
        <v>4390</v>
      </c>
      <c r="D1110" s="121" t="s">
        <v>40</v>
      </c>
      <c r="E1110" s="122" t="s">
        <v>4391</v>
      </c>
      <c r="F1110" s="123">
        <f t="shared" si="57"/>
        <v>2</v>
      </c>
      <c r="G1110" s="121" t="s">
        <v>4392</v>
      </c>
      <c r="H1110" s="124"/>
      <c r="I1110" s="122" t="s">
        <v>4393</v>
      </c>
      <c r="J1110" s="122" t="s">
        <v>4393</v>
      </c>
      <c r="K1110" s="125"/>
      <c r="L1110" s="125"/>
    </row>
    <row r="1111">
      <c r="A1111" s="119"/>
      <c r="B1111" s="119" t="s">
        <v>4221</v>
      </c>
      <c r="C1111" s="121" t="s">
        <v>4394</v>
      </c>
      <c r="D1111" s="121" t="s">
        <v>4330</v>
      </c>
      <c r="E1111" s="122" t="s">
        <v>4395</v>
      </c>
      <c r="F1111" s="123">
        <f t="shared" si="57"/>
        <v>2</v>
      </c>
      <c r="G1111" s="121" t="s">
        <v>4396</v>
      </c>
      <c r="H1111" s="124"/>
      <c r="I1111" s="122" t="s">
        <v>4397</v>
      </c>
      <c r="J1111" s="122" t="s">
        <v>4397</v>
      </c>
      <c r="K1111" s="125"/>
      <c r="L1111" s="125"/>
    </row>
    <row r="1112">
      <c r="A1112" s="119"/>
      <c r="B1112" s="119" t="s">
        <v>4221</v>
      </c>
      <c r="C1112" s="121" t="s">
        <v>4398</v>
      </c>
      <c r="D1112" s="121" t="s">
        <v>40</v>
      </c>
      <c r="E1112" s="122" t="s">
        <v>4399</v>
      </c>
      <c r="F1112" s="123">
        <f t="shared" si="57"/>
        <v>2</v>
      </c>
      <c r="G1112" s="121" t="s">
        <v>4400</v>
      </c>
      <c r="H1112" s="124"/>
      <c r="I1112" s="122" t="s">
        <v>4401</v>
      </c>
      <c r="J1112" s="122" t="s">
        <v>4401</v>
      </c>
      <c r="K1112" s="125"/>
      <c r="L1112" s="125"/>
    </row>
    <row r="1113">
      <c r="A1113" s="119"/>
      <c r="B1113" s="119" t="s">
        <v>4221</v>
      </c>
      <c r="C1113" s="121" t="s">
        <v>4402</v>
      </c>
      <c r="D1113" s="121" t="s">
        <v>4330</v>
      </c>
      <c r="E1113" s="122" t="s">
        <v>4403</v>
      </c>
      <c r="F1113" s="123">
        <f t="shared" si="57"/>
        <v>2</v>
      </c>
      <c r="G1113" s="121" t="s">
        <v>4404</v>
      </c>
      <c r="H1113" s="124"/>
      <c r="I1113" s="122" t="s">
        <v>4405</v>
      </c>
      <c r="J1113" s="122" t="s">
        <v>4405</v>
      </c>
      <c r="K1113" s="125"/>
      <c r="L1113" s="125"/>
    </row>
    <row r="1114">
      <c r="A1114" s="119"/>
      <c r="B1114" s="119" t="s">
        <v>4221</v>
      </c>
      <c r="C1114" s="121" t="s">
        <v>4406</v>
      </c>
      <c r="D1114" s="121" t="s">
        <v>40</v>
      </c>
      <c r="E1114" s="122" t="s">
        <v>4407</v>
      </c>
      <c r="F1114" s="123">
        <f t="shared" si="57"/>
        <v>2</v>
      </c>
      <c r="G1114" s="121" t="s">
        <v>4408</v>
      </c>
      <c r="H1114" s="124"/>
      <c r="I1114" s="122" t="s">
        <v>4409</v>
      </c>
      <c r="J1114" s="122" t="s">
        <v>4409</v>
      </c>
      <c r="K1114" s="125"/>
      <c r="L1114" s="125"/>
    </row>
    <row r="1115">
      <c r="A1115" s="119"/>
      <c r="B1115" s="119" t="s">
        <v>4221</v>
      </c>
      <c r="C1115" s="121" t="s">
        <v>4410</v>
      </c>
      <c r="D1115" s="121" t="s">
        <v>4330</v>
      </c>
      <c r="E1115" s="122" t="s">
        <v>4411</v>
      </c>
      <c r="F1115" s="123">
        <f t="shared" si="57"/>
        <v>2</v>
      </c>
      <c r="G1115" s="121" t="s">
        <v>4412</v>
      </c>
      <c r="H1115" s="124"/>
      <c r="I1115" s="122" t="s">
        <v>4413</v>
      </c>
      <c r="J1115" s="122" t="s">
        <v>4413</v>
      </c>
      <c r="K1115" s="125"/>
      <c r="L1115" s="125"/>
    </row>
    <row r="1116">
      <c r="A1116" s="119"/>
      <c r="B1116" s="119" t="s">
        <v>4221</v>
      </c>
      <c r="C1116" s="121" t="s">
        <v>4414</v>
      </c>
      <c r="D1116" s="121" t="s">
        <v>40</v>
      </c>
      <c r="E1116" s="122" t="s">
        <v>4415</v>
      </c>
      <c r="F1116" s="123">
        <f t="shared" si="57"/>
        <v>2</v>
      </c>
      <c r="G1116" s="121" t="s">
        <v>4416</v>
      </c>
      <c r="H1116" s="124"/>
      <c r="I1116" s="122" t="s">
        <v>4417</v>
      </c>
      <c r="J1116" s="122" t="s">
        <v>4417</v>
      </c>
      <c r="K1116" s="125"/>
      <c r="L1116" s="125"/>
    </row>
    <row r="1117">
      <c r="A1117" s="119"/>
      <c r="B1117" s="119" t="s">
        <v>4221</v>
      </c>
      <c r="C1117" s="121" t="s">
        <v>4418</v>
      </c>
      <c r="D1117" s="121" t="s">
        <v>4330</v>
      </c>
      <c r="E1117" s="122" t="s">
        <v>4419</v>
      </c>
      <c r="F1117" s="123">
        <f t="shared" si="57"/>
        <v>2</v>
      </c>
      <c r="G1117" s="121" t="s">
        <v>4420</v>
      </c>
      <c r="H1117" s="124"/>
      <c r="I1117" s="122" t="s">
        <v>4421</v>
      </c>
      <c r="J1117" s="122" t="s">
        <v>4421</v>
      </c>
      <c r="K1117" s="125"/>
      <c r="L1117" s="125"/>
    </row>
    <row r="1118">
      <c r="A1118" s="119"/>
      <c r="B1118" s="119" t="s">
        <v>4221</v>
      </c>
      <c r="C1118" s="121" t="s">
        <v>4422</v>
      </c>
      <c r="D1118" s="121" t="s">
        <v>40</v>
      </c>
      <c r="E1118" s="122" t="s">
        <v>4423</v>
      </c>
      <c r="F1118" s="123">
        <f t="shared" si="57"/>
        <v>2</v>
      </c>
      <c r="G1118" s="121" t="s">
        <v>4424</v>
      </c>
      <c r="H1118" s="124"/>
      <c r="I1118" s="122" t="s">
        <v>4425</v>
      </c>
      <c r="J1118" s="122" t="s">
        <v>4425</v>
      </c>
      <c r="K1118" s="125"/>
      <c r="L1118" s="125"/>
    </row>
    <row r="1119">
      <c r="A1119" s="119"/>
      <c r="B1119" s="119" t="s">
        <v>4221</v>
      </c>
      <c r="C1119" s="121" t="s">
        <v>4426</v>
      </c>
      <c r="D1119" s="121" t="s">
        <v>4330</v>
      </c>
      <c r="E1119" s="122" t="s">
        <v>4427</v>
      </c>
      <c r="F1119" s="123">
        <f t="shared" si="57"/>
        <v>2</v>
      </c>
      <c r="G1119" s="121" t="s">
        <v>4428</v>
      </c>
      <c r="H1119" s="124"/>
      <c r="I1119" s="122" t="s">
        <v>4429</v>
      </c>
      <c r="J1119" s="122" t="s">
        <v>4429</v>
      </c>
      <c r="K1119" s="125"/>
      <c r="L1119" s="125"/>
    </row>
    <row r="1120">
      <c r="A1120" s="119"/>
      <c r="B1120" s="119" t="s">
        <v>4221</v>
      </c>
      <c r="C1120" s="121" t="s">
        <v>4430</v>
      </c>
      <c r="D1120" s="121" t="s">
        <v>40</v>
      </c>
      <c r="E1120" s="122" t="s">
        <v>4431</v>
      </c>
      <c r="F1120" s="123">
        <f t="shared" si="57"/>
        <v>2</v>
      </c>
      <c r="G1120" s="121" t="s">
        <v>4432</v>
      </c>
      <c r="H1120" s="124"/>
      <c r="I1120" s="122" t="s">
        <v>4433</v>
      </c>
      <c r="J1120" s="122" t="s">
        <v>4433</v>
      </c>
      <c r="K1120" s="125"/>
      <c r="L1120" s="125"/>
    </row>
    <row r="1121">
      <c r="A1121" s="119"/>
      <c r="B1121" s="119" t="s">
        <v>4221</v>
      </c>
      <c r="C1121" s="121" t="s">
        <v>4434</v>
      </c>
      <c r="D1121" s="121" t="s">
        <v>16</v>
      </c>
      <c r="E1121" s="122" t="s">
        <v>3128</v>
      </c>
      <c r="F1121" s="123">
        <f t="shared" si="57"/>
        <v>2</v>
      </c>
      <c r="G1121" s="121" t="s">
        <v>4435</v>
      </c>
      <c r="H1121" s="124"/>
      <c r="I1121" s="122" t="s">
        <v>4436</v>
      </c>
      <c r="J1121" s="122" t="s">
        <v>4436</v>
      </c>
      <c r="K1121" s="125"/>
      <c r="L1121" s="125"/>
    </row>
    <row r="1122">
      <c r="A1122" s="119"/>
      <c r="B1122" s="119" t="s">
        <v>4221</v>
      </c>
      <c r="C1122" s="121" t="s">
        <v>4437</v>
      </c>
      <c r="D1122" s="121" t="s">
        <v>4330</v>
      </c>
      <c r="E1122" s="122" t="s">
        <v>4438</v>
      </c>
      <c r="F1122" s="123">
        <f t="shared" si="57"/>
        <v>2</v>
      </c>
      <c r="G1122" s="121" t="s">
        <v>4439</v>
      </c>
      <c r="H1122" s="124"/>
      <c r="I1122" s="122" t="s">
        <v>4440</v>
      </c>
      <c r="J1122" s="122" t="s">
        <v>4440</v>
      </c>
      <c r="K1122" s="125"/>
      <c r="L1122" s="125"/>
    </row>
    <row r="1123">
      <c r="A1123" s="119"/>
      <c r="B1123" s="119" t="s">
        <v>4221</v>
      </c>
      <c r="C1123" s="121" t="s">
        <v>4441</v>
      </c>
      <c r="D1123" s="121" t="s">
        <v>40</v>
      </c>
      <c r="E1123" s="122" t="s">
        <v>4442</v>
      </c>
      <c r="F1123" s="123">
        <f t="shared" si="57"/>
        <v>2</v>
      </c>
      <c r="G1123" s="121" t="s">
        <v>4443</v>
      </c>
      <c r="H1123" s="124"/>
      <c r="I1123" s="122" t="s">
        <v>4444</v>
      </c>
      <c r="J1123" s="122" t="s">
        <v>4444</v>
      </c>
      <c r="K1123" s="125"/>
      <c r="L1123" s="125"/>
    </row>
    <row r="1124">
      <c r="A1124" s="119"/>
      <c r="B1124" s="119" t="s">
        <v>4221</v>
      </c>
      <c r="C1124" s="121" t="s">
        <v>4445</v>
      </c>
      <c r="D1124" s="121" t="s">
        <v>4330</v>
      </c>
      <c r="E1124" s="122" t="s">
        <v>4446</v>
      </c>
      <c r="F1124" s="123">
        <f t="shared" si="57"/>
        <v>1</v>
      </c>
      <c r="G1124" s="121" t="s">
        <v>4447</v>
      </c>
      <c r="H1124" s="124"/>
      <c r="I1124" s="122" t="s">
        <v>4448</v>
      </c>
      <c r="J1124" s="125"/>
      <c r="K1124" s="125"/>
      <c r="L1124" s="125"/>
    </row>
    <row r="1125">
      <c r="A1125" s="119"/>
      <c r="B1125" s="119" t="s">
        <v>4221</v>
      </c>
      <c r="C1125" s="121" t="s">
        <v>4449</v>
      </c>
      <c r="D1125" s="121" t="s">
        <v>40</v>
      </c>
      <c r="E1125" s="122" t="s">
        <v>4450</v>
      </c>
      <c r="F1125" s="123">
        <f t="shared" si="57"/>
        <v>1</v>
      </c>
      <c r="G1125" s="121" t="s">
        <v>4451</v>
      </c>
      <c r="H1125" s="124"/>
      <c r="I1125" s="122" t="s">
        <v>4452</v>
      </c>
      <c r="J1125" s="125"/>
      <c r="K1125" s="125"/>
      <c r="L1125" s="125"/>
    </row>
    <row r="1126">
      <c r="A1126" s="119"/>
      <c r="B1126" s="119" t="s">
        <v>4221</v>
      </c>
      <c r="C1126" s="121" t="s">
        <v>4453</v>
      </c>
      <c r="D1126" s="121" t="s">
        <v>40</v>
      </c>
      <c r="E1126" s="122" t="s">
        <v>4454</v>
      </c>
      <c r="F1126" s="123">
        <f t="shared" si="57"/>
        <v>2</v>
      </c>
      <c r="G1126" s="121" t="s">
        <v>4455</v>
      </c>
      <c r="H1126" s="124"/>
      <c r="I1126" s="122" t="s">
        <v>4456</v>
      </c>
      <c r="J1126" s="122" t="s">
        <v>4456</v>
      </c>
      <c r="K1126" s="125"/>
      <c r="L1126" s="125"/>
    </row>
    <row r="1127">
      <c r="A1127" s="119"/>
      <c r="B1127" s="119" t="s">
        <v>4221</v>
      </c>
      <c r="C1127" s="121" t="s">
        <v>4457</v>
      </c>
      <c r="D1127" s="121" t="s">
        <v>40</v>
      </c>
      <c r="E1127" s="122" t="s">
        <v>4458</v>
      </c>
      <c r="F1127" s="123">
        <f t="shared" si="57"/>
        <v>2</v>
      </c>
      <c r="G1127" s="121" t="s">
        <v>4459</v>
      </c>
      <c r="H1127" s="124"/>
      <c r="I1127" s="122" t="s">
        <v>4460</v>
      </c>
      <c r="J1127" s="122" t="s">
        <v>4460</v>
      </c>
      <c r="K1127" s="125"/>
      <c r="L1127" s="125"/>
    </row>
    <row r="1128">
      <c r="A1128" s="119"/>
      <c r="B1128" s="119" t="s">
        <v>4221</v>
      </c>
      <c r="C1128" s="121" t="s">
        <v>4461</v>
      </c>
      <c r="D1128" s="121" t="s">
        <v>40</v>
      </c>
      <c r="E1128" s="122" t="s">
        <v>4462</v>
      </c>
      <c r="F1128" s="123">
        <f t="shared" si="57"/>
        <v>2</v>
      </c>
      <c r="G1128" s="121" t="s">
        <v>4463</v>
      </c>
      <c r="H1128" s="124"/>
      <c r="I1128" s="122" t="s">
        <v>4464</v>
      </c>
      <c r="J1128" s="122" t="s">
        <v>4464</v>
      </c>
      <c r="K1128" s="125"/>
      <c r="L1128" s="125"/>
    </row>
    <row r="1129">
      <c r="A1129" s="119"/>
      <c r="B1129" s="119" t="s">
        <v>4221</v>
      </c>
      <c r="C1129" s="121" t="s">
        <v>4465</v>
      </c>
      <c r="D1129" s="121" t="s">
        <v>40</v>
      </c>
      <c r="E1129" s="122" t="s">
        <v>4466</v>
      </c>
      <c r="F1129" s="123">
        <f t="shared" si="57"/>
        <v>2</v>
      </c>
      <c r="G1129" s="121" t="s">
        <v>4467</v>
      </c>
      <c r="H1129" s="124"/>
      <c r="I1129" s="122" t="s">
        <v>4468</v>
      </c>
      <c r="J1129" s="122" t="s">
        <v>4468</v>
      </c>
      <c r="K1129" s="125"/>
      <c r="L1129" s="125"/>
    </row>
    <row r="1130">
      <c r="A1130" s="119"/>
      <c r="B1130" s="119" t="s">
        <v>4221</v>
      </c>
      <c r="C1130" s="121" t="s">
        <v>4469</v>
      </c>
      <c r="D1130" s="121" t="s">
        <v>31</v>
      </c>
      <c r="E1130" s="122" t="s">
        <v>4470</v>
      </c>
      <c r="F1130" s="123">
        <f t="shared" si="57"/>
        <v>2</v>
      </c>
      <c r="G1130" s="121" t="s">
        <v>4471</v>
      </c>
      <c r="H1130" s="124"/>
      <c r="I1130" s="122" t="s">
        <v>4472</v>
      </c>
      <c r="J1130" s="122" t="s">
        <v>4472</v>
      </c>
      <c r="K1130" s="125"/>
      <c r="L1130" s="125"/>
    </row>
    <row r="1131">
      <c r="A1131" s="119"/>
      <c r="B1131" s="119" t="s">
        <v>4221</v>
      </c>
      <c r="C1131" s="121" t="s">
        <v>4473</v>
      </c>
      <c r="D1131" s="121" t="s">
        <v>40</v>
      </c>
      <c r="E1131" s="122" t="s">
        <v>4474</v>
      </c>
      <c r="F1131" s="123">
        <f t="shared" si="57"/>
        <v>2</v>
      </c>
      <c r="G1131" s="121" t="s">
        <v>4475</v>
      </c>
      <c r="H1131" s="124"/>
      <c r="I1131" s="122" t="s">
        <v>4476</v>
      </c>
      <c r="J1131" s="122" t="s">
        <v>4476</v>
      </c>
      <c r="K1131" s="125"/>
      <c r="L1131" s="125"/>
    </row>
    <row r="1132">
      <c r="A1132" s="119"/>
      <c r="B1132" s="119" t="s">
        <v>4221</v>
      </c>
      <c r="C1132" s="121" t="s">
        <v>4477</v>
      </c>
      <c r="D1132" s="121" t="s">
        <v>31</v>
      </c>
      <c r="E1132" s="122" t="s">
        <v>4478</v>
      </c>
      <c r="F1132" s="123">
        <f t="shared" si="57"/>
        <v>2</v>
      </c>
      <c r="G1132" s="121" t="s">
        <v>4479</v>
      </c>
      <c r="H1132" s="124"/>
      <c r="I1132" s="122" t="s">
        <v>4480</v>
      </c>
      <c r="J1132" s="122" t="s">
        <v>4480</v>
      </c>
      <c r="K1132" s="125"/>
      <c r="L1132" s="125"/>
    </row>
    <row r="1133">
      <c r="A1133" s="119"/>
      <c r="B1133" s="119" t="s">
        <v>4221</v>
      </c>
      <c r="C1133" s="121" t="s">
        <v>4481</v>
      </c>
      <c r="D1133" s="121" t="s">
        <v>4482</v>
      </c>
      <c r="E1133" s="122" t="s">
        <v>4483</v>
      </c>
      <c r="F1133" s="123">
        <f t="shared" si="57"/>
        <v>2</v>
      </c>
      <c r="G1133" s="121" t="s">
        <v>4484</v>
      </c>
      <c r="H1133" s="124"/>
      <c r="I1133" s="122" t="s">
        <v>4485</v>
      </c>
      <c r="J1133" s="122" t="s">
        <v>4485</v>
      </c>
      <c r="K1133" s="125"/>
      <c r="L1133" s="125"/>
    </row>
    <row r="1134">
      <c r="A1134" s="119"/>
      <c r="B1134" s="119" t="s">
        <v>4221</v>
      </c>
      <c r="C1134" s="121" t="s">
        <v>4486</v>
      </c>
      <c r="D1134" s="121" t="s">
        <v>40</v>
      </c>
      <c r="E1134" s="122" t="s">
        <v>4487</v>
      </c>
      <c r="F1134" s="123">
        <f t="shared" si="57"/>
        <v>2</v>
      </c>
      <c r="G1134" s="121" t="s">
        <v>4488</v>
      </c>
      <c r="H1134" s="124"/>
      <c r="I1134" s="122" t="s">
        <v>4489</v>
      </c>
      <c r="J1134" s="122" t="s">
        <v>4489</v>
      </c>
      <c r="K1134" s="125"/>
      <c r="L1134" s="125"/>
    </row>
    <row r="1135">
      <c r="A1135" s="119"/>
      <c r="B1135" s="119" t="s">
        <v>4221</v>
      </c>
      <c r="C1135" s="121" t="s">
        <v>4490</v>
      </c>
      <c r="D1135" s="121" t="s">
        <v>31</v>
      </c>
      <c r="E1135" s="122" t="s">
        <v>4491</v>
      </c>
      <c r="F1135" s="123">
        <f t="shared" si="57"/>
        <v>2</v>
      </c>
      <c r="G1135" s="121" t="s">
        <v>4492</v>
      </c>
      <c r="H1135" s="124"/>
      <c r="I1135" s="122" t="s">
        <v>4493</v>
      </c>
      <c r="J1135" s="122" t="s">
        <v>4493</v>
      </c>
      <c r="K1135" s="125"/>
      <c r="L1135" s="125"/>
    </row>
    <row r="1136">
      <c r="A1136" s="119"/>
      <c r="B1136" s="119" t="s">
        <v>4221</v>
      </c>
      <c r="C1136" s="121" t="s">
        <v>4494</v>
      </c>
      <c r="D1136" s="121" t="s">
        <v>4482</v>
      </c>
      <c r="E1136" s="122" t="s">
        <v>4495</v>
      </c>
      <c r="F1136" s="123">
        <f t="shared" si="57"/>
        <v>2</v>
      </c>
      <c r="G1136" s="121" t="s">
        <v>4496</v>
      </c>
      <c r="H1136" s="124"/>
      <c r="I1136" s="126" t="s">
        <v>4497</v>
      </c>
      <c r="J1136" s="126" t="s">
        <v>4497</v>
      </c>
      <c r="K1136" s="125"/>
      <c r="L1136" s="125"/>
    </row>
    <row r="1137">
      <c r="A1137" s="119"/>
      <c r="B1137" s="119" t="s">
        <v>4221</v>
      </c>
      <c r="C1137" s="121" t="s">
        <v>4498</v>
      </c>
      <c r="D1137" s="121" t="s">
        <v>40</v>
      </c>
      <c r="E1137" s="122" t="s">
        <v>4498</v>
      </c>
      <c r="F1137" s="123">
        <f t="shared" si="57"/>
        <v>2</v>
      </c>
      <c r="G1137" s="121" t="s">
        <v>4498</v>
      </c>
      <c r="H1137" s="124"/>
      <c r="I1137" s="122" t="s">
        <v>4499</v>
      </c>
      <c r="J1137" s="122" t="s">
        <v>4499</v>
      </c>
      <c r="K1137" s="125"/>
      <c r="L1137" s="125"/>
    </row>
    <row r="1138">
      <c r="A1138" s="119"/>
      <c r="B1138" s="119" t="s">
        <v>4221</v>
      </c>
      <c r="C1138" s="121" t="s">
        <v>4500</v>
      </c>
      <c r="D1138" s="121" t="s">
        <v>31</v>
      </c>
      <c r="E1138" s="122" t="s">
        <v>4501</v>
      </c>
      <c r="F1138" s="123">
        <f t="shared" si="57"/>
        <v>2</v>
      </c>
      <c r="G1138" s="121" t="s">
        <v>4502</v>
      </c>
      <c r="H1138" s="124"/>
      <c r="I1138" s="122" t="s">
        <v>4503</v>
      </c>
      <c r="J1138" s="122" t="s">
        <v>4503</v>
      </c>
      <c r="K1138" s="125"/>
      <c r="L1138" s="125"/>
    </row>
    <row r="1139">
      <c r="A1139" s="119"/>
      <c r="B1139" s="119" t="s">
        <v>4221</v>
      </c>
      <c r="C1139" s="121" t="s">
        <v>4504</v>
      </c>
      <c r="D1139" s="121" t="s">
        <v>4504</v>
      </c>
      <c r="E1139" s="122" t="s">
        <v>4505</v>
      </c>
      <c r="F1139" s="123">
        <f t="shared" si="57"/>
        <v>2</v>
      </c>
      <c r="G1139" s="121" t="s">
        <v>4506</v>
      </c>
      <c r="H1139" s="124"/>
      <c r="I1139" s="122" t="s">
        <v>4507</v>
      </c>
      <c r="J1139" s="122" t="s">
        <v>4507</v>
      </c>
      <c r="K1139" s="125"/>
      <c r="L1139" s="125"/>
    </row>
    <row r="1140">
      <c r="A1140" s="119"/>
      <c r="B1140" s="119" t="s">
        <v>4221</v>
      </c>
      <c r="C1140" s="121" t="s">
        <v>4508</v>
      </c>
      <c r="D1140" s="121" t="s">
        <v>4509</v>
      </c>
      <c r="E1140" s="122" t="s">
        <v>4510</v>
      </c>
      <c r="F1140" s="123">
        <f t="shared" si="57"/>
        <v>2</v>
      </c>
      <c r="G1140" s="121" t="s">
        <v>4511</v>
      </c>
      <c r="H1140" s="124"/>
      <c r="I1140" s="122" t="s">
        <v>4512</v>
      </c>
      <c r="J1140" s="122" t="s">
        <v>4512</v>
      </c>
      <c r="K1140" s="125"/>
      <c r="L1140" s="125"/>
    </row>
    <row r="1141">
      <c r="A1141" s="119"/>
      <c r="B1141" s="119" t="s">
        <v>4221</v>
      </c>
      <c r="C1141" s="121" t="s">
        <v>4513</v>
      </c>
      <c r="D1141" s="121" t="s">
        <v>26</v>
      </c>
      <c r="E1141" s="122" t="s">
        <v>4514</v>
      </c>
      <c r="F1141" s="123">
        <f t="shared" si="57"/>
        <v>2</v>
      </c>
      <c r="G1141" s="121" t="s">
        <v>4515</v>
      </c>
      <c r="H1141" s="124"/>
      <c r="I1141" s="122" t="s">
        <v>4516</v>
      </c>
      <c r="J1141" s="122" t="s">
        <v>4516</v>
      </c>
      <c r="K1141" s="125"/>
      <c r="L1141" s="125"/>
    </row>
    <row r="1142">
      <c r="A1142" s="33"/>
      <c r="B1142" s="33"/>
      <c r="C1142" s="118"/>
      <c r="D1142" s="12"/>
      <c r="E1142" s="61"/>
      <c r="F1142" s="14"/>
      <c r="G1142" s="12" t="s">
        <v>851</v>
      </c>
      <c r="H1142" s="118"/>
      <c r="I1142" s="61"/>
    </row>
    <row r="1143">
      <c r="A1143" s="119" t="s">
        <v>4205</v>
      </c>
      <c r="B1143" s="119" t="s">
        <v>4517</v>
      </c>
      <c r="C1143" s="121" t="s">
        <v>4518</v>
      </c>
      <c r="D1143" s="121" t="s">
        <v>40</v>
      </c>
      <c r="E1143" s="122" t="s">
        <v>4519</v>
      </c>
      <c r="F1143" s="123">
        <f t="shared" ref="F1143:F1205" si="58">counta(I1143:J1143)</f>
        <v>2</v>
      </c>
      <c r="G1143" s="121" t="s">
        <v>4518</v>
      </c>
      <c r="H1143" s="124"/>
      <c r="I1143" s="122" t="s">
        <v>4520</v>
      </c>
      <c r="J1143" s="122" t="s">
        <v>4520</v>
      </c>
      <c r="K1143" s="125"/>
      <c r="L1143" s="125"/>
    </row>
    <row r="1144">
      <c r="A1144" s="119"/>
      <c r="B1144" s="119" t="s">
        <v>4517</v>
      </c>
      <c r="C1144" s="121" t="s">
        <v>4521</v>
      </c>
      <c r="D1144" s="121" t="s">
        <v>31</v>
      </c>
      <c r="E1144" s="122" t="s">
        <v>4522</v>
      </c>
      <c r="F1144" s="123">
        <f t="shared" si="58"/>
        <v>2</v>
      </c>
      <c r="G1144" s="121" t="s">
        <v>4523</v>
      </c>
      <c r="H1144" s="124"/>
      <c r="I1144" s="122" t="s">
        <v>4524</v>
      </c>
      <c r="J1144" s="122" t="s">
        <v>4524</v>
      </c>
      <c r="K1144" s="125"/>
      <c r="L1144" s="125"/>
    </row>
    <row r="1145">
      <c r="A1145" s="119"/>
      <c r="B1145" s="119" t="s">
        <v>4517</v>
      </c>
      <c r="C1145" s="121" t="s">
        <v>4525</v>
      </c>
      <c r="D1145" s="121" t="s">
        <v>40</v>
      </c>
      <c r="E1145" s="122" t="s">
        <v>4526</v>
      </c>
      <c r="F1145" s="123">
        <f t="shared" si="58"/>
        <v>2</v>
      </c>
      <c r="G1145" s="121" t="s">
        <v>4525</v>
      </c>
      <c r="H1145" s="124"/>
      <c r="I1145" s="122" t="s">
        <v>4527</v>
      </c>
      <c r="J1145" s="122" t="s">
        <v>4527</v>
      </c>
      <c r="K1145" s="125"/>
      <c r="L1145" s="125"/>
    </row>
    <row r="1146">
      <c r="A1146" s="119"/>
      <c r="B1146" s="119" t="s">
        <v>4517</v>
      </c>
      <c r="C1146" s="121" t="s">
        <v>4528</v>
      </c>
      <c r="D1146" s="121" t="s">
        <v>40</v>
      </c>
      <c r="E1146" s="122" t="s">
        <v>4529</v>
      </c>
      <c r="F1146" s="123">
        <f t="shared" si="58"/>
        <v>2</v>
      </c>
      <c r="G1146" s="121" t="s">
        <v>4530</v>
      </c>
      <c r="H1146" s="124"/>
      <c r="I1146" s="122" t="s">
        <v>4531</v>
      </c>
      <c r="J1146" s="122" t="s">
        <v>4531</v>
      </c>
      <c r="K1146" s="125"/>
      <c r="L1146" s="125"/>
    </row>
    <row r="1147">
      <c r="A1147" s="119"/>
      <c r="B1147" s="119" t="s">
        <v>4517</v>
      </c>
      <c r="C1147" s="121" t="s">
        <v>4532</v>
      </c>
      <c r="D1147" s="121" t="s">
        <v>40</v>
      </c>
      <c r="E1147" s="122" t="s">
        <v>4533</v>
      </c>
      <c r="F1147" s="123">
        <f t="shared" si="58"/>
        <v>2</v>
      </c>
      <c r="G1147" s="121" t="s">
        <v>4534</v>
      </c>
      <c r="H1147" s="124"/>
      <c r="I1147" s="122" t="s">
        <v>4535</v>
      </c>
      <c r="J1147" s="122" t="s">
        <v>4535</v>
      </c>
      <c r="K1147" s="125"/>
      <c r="L1147" s="125"/>
    </row>
    <row r="1148">
      <c r="A1148" s="119"/>
      <c r="B1148" s="119" t="s">
        <v>4517</v>
      </c>
      <c r="C1148" s="121" t="s">
        <v>4536</v>
      </c>
      <c r="D1148" s="121" t="s">
        <v>40</v>
      </c>
      <c r="E1148" s="122" t="s">
        <v>4537</v>
      </c>
      <c r="F1148" s="123">
        <f t="shared" si="58"/>
        <v>2</v>
      </c>
      <c r="G1148" s="121" t="s">
        <v>4538</v>
      </c>
      <c r="H1148" s="124"/>
      <c r="I1148" s="122" t="s">
        <v>4539</v>
      </c>
      <c r="J1148" s="122" t="s">
        <v>4539</v>
      </c>
      <c r="K1148" s="125"/>
      <c r="L1148" s="125"/>
    </row>
    <row r="1149">
      <c r="A1149" s="119"/>
      <c r="B1149" s="119" t="s">
        <v>4517</v>
      </c>
      <c r="C1149" s="121" t="s">
        <v>4540</v>
      </c>
      <c r="D1149" s="121" t="s">
        <v>4541</v>
      </c>
      <c r="E1149" s="122" t="s">
        <v>4542</v>
      </c>
      <c r="F1149" s="123">
        <f t="shared" si="58"/>
        <v>2</v>
      </c>
      <c r="G1149" s="121" t="s">
        <v>4543</v>
      </c>
      <c r="H1149" s="124"/>
      <c r="I1149" s="122" t="s">
        <v>4544</v>
      </c>
      <c r="J1149" s="122" t="s">
        <v>4544</v>
      </c>
      <c r="K1149" s="125"/>
      <c r="L1149" s="125"/>
    </row>
    <row r="1150">
      <c r="A1150" s="119"/>
      <c r="B1150" s="119" t="s">
        <v>4517</v>
      </c>
      <c r="C1150" s="121" t="s">
        <v>4545</v>
      </c>
      <c r="D1150" s="121" t="s">
        <v>40</v>
      </c>
      <c r="E1150" s="122" t="s">
        <v>4546</v>
      </c>
      <c r="F1150" s="123">
        <f t="shared" si="58"/>
        <v>2</v>
      </c>
      <c r="G1150" s="121" t="s">
        <v>4547</v>
      </c>
      <c r="H1150" s="124"/>
      <c r="I1150" s="122" t="s">
        <v>4548</v>
      </c>
      <c r="J1150" s="122" t="s">
        <v>4548</v>
      </c>
      <c r="K1150" s="125"/>
      <c r="L1150" s="125"/>
    </row>
    <row r="1151">
      <c r="A1151" s="119"/>
      <c r="B1151" s="119" t="s">
        <v>4517</v>
      </c>
      <c r="C1151" s="121" t="s">
        <v>4549</v>
      </c>
      <c r="D1151" s="121" t="s">
        <v>40</v>
      </c>
      <c r="E1151" s="122" t="s">
        <v>4550</v>
      </c>
      <c r="F1151" s="123">
        <f t="shared" si="58"/>
        <v>2</v>
      </c>
      <c r="G1151" s="121" t="s">
        <v>4551</v>
      </c>
      <c r="H1151" s="124"/>
      <c r="I1151" s="122" t="s">
        <v>4552</v>
      </c>
      <c r="J1151" s="122" t="s">
        <v>4552</v>
      </c>
      <c r="K1151" s="125"/>
      <c r="L1151" s="125"/>
    </row>
    <row r="1152">
      <c r="A1152" s="119"/>
      <c r="B1152" s="119" t="s">
        <v>4517</v>
      </c>
      <c r="C1152" s="121" t="s">
        <v>4553</v>
      </c>
      <c r="D1152" s="121" t="s">
        <v>40</v>
      </c>
      <c r="E1152" s="122" t="s">
        <v>4554</v>
      </c>
      <c r="F1152" s="123">
        <f t="shared" si="58"/>
        <v>2</v>
      </c>
      <c r="G1152" s="121" t="s">
        <v>4555</v>
      </c>
      <c r="H1152" s="124"/>
      <c r="I1152" s="122" t="s">
        <v>4556</v>
      </c>
      <c r="J1152" s="122" t="s">
        <v>4556</v>
      </c>
      <c r="K1152" s="125"/>
      <c r="L1152" s="125"/>
    </row>
    <row r="1153">
      <c r="A1153" s="119"/>
      <c r="B1153" s="119" t="s">
        <v>4517</v>
      </c>
      <c r="C1153" s="121" t="s">
        <v>4557</v>
      </c>
      <c r="D1153" s="121" t="s">
        <v>40</v>
      </c>
      <c r="E1153" s="122" t="s">
        <v>4558</v>
      </c>
      <c r="F1153" s="123">
        <f t="shared" si="58"/>
        <v>2</v>
      </c>
      <c r="G1153" s="121" t="s">
        <v>4559</v>
      </c>
      <c r="H1153" s="124"/>
      <c r="I1153" s="122" t="s">
        <v>4560</v>
      </c>
      <c r="J1153" s="122" t="s">
        <v>4560</v>
      </c>
      <c r="K1153" s="125"/>
      <c r="L1153" s="125"/>
    </row>
    <row r="1154">
      <c r="A1154" s="119"/>
      <c r="B1154" s="119" t="s">
        <v>4517</v>
      </c>
      <c r="C1154" s="121" t="s">
        <v>4561</v>
      </c>
      <c r="D1154" s="121" t="s">
        <v>40</v>
      </c>
      <c r="E1154" s="122" t="s">
        <v>4562</v>
      </c>
      <c r="F1154" s="123">
        <f t="shared" si="58"/>
        <v>2</v>
      </c>
      <c r="G1154" s="121" t="s">
        <v>4563</v>
      </c>
      <c r="H1154" s="124"/>
      <c r="I1154" s="122" t="s">
        <v>4564</v>
      </c>
      <c r="J1154" s="122" t="s">
        <v>4564</v>
      </c>
      <c r="K1154" s="125"/>
      <c r="L1154" s="125"/>
    </row>
    <row r="1155">
      <c r="A1155" s="119"/>
      <c r="B1155" s="119" t="s">
        <v>4517</v>
      </c>
      <c r="C1155" s="121" t="s">
        <v>4565</v>
      </c>
      <c r="D1155" s="121" t="s">
        <v>40</v>
      </c>
      <c r="E1155" s="122" t="s">
        <v>4566</v>
      </c>
      <c r="F1155" s="123">
        <f t="shared" si="58"/>
        <v>2</v>
      </c>
      <c r="G1155" s="121" t="s">
        <v>4567</v>
      </c>
      <c r="H1155" s="124"/>
      <c r="I1155" s="122" t="s">
        <v>4568</v>
      </c>
      <c r="J1155" s="122" t="s">
        <v>4568</v>
      </c>
      <c r="K1155" s="125"/>
      <c r="L1155" s="125"/>
    </row>
    <row r="1156">
      <c r="A1156" s="119"/>
      <c r="B1156" s="119" t="s">
        <v>4517</v>
      </c>
      <c r="C1156" s="121" t="s">
        <v>4569</v>
      </c>
      <c r="D1156" s="121" t="s">
        <v>40</v>
      </c>
      <c r="E1156" s="122" t="s">
        <v>4570</v>
      </c>
      <c r="F1156" s="123">
        <f t="shared" si="58"/>
        <v>2</v>
      </c>
      <c r="G1156" s="121" t="s">
        <v>4571</v>
      </c>
      <c r="H1156" s="124"/>
      <c r="I1156" s="122" t="s">
        <v>4572</v>
      </c>
      <c r="J1156" s="122" t="s">
        <v>4572</v>
      </c>
      <c r="K1156" s="125"/>
      <c r="L1156" s="125"/>
    </row>
    <row r="1157">
      <c r="A1157" s="119"/>
      <c r="B1157" s="119" t="s">
        <v>4517</v>
      </c>
      <c r="C1157" s="121" t="s">
        <v>4573</v>
      </c>
      <c r="D1157" s="121" t="s">
        <v>40</v>
      </c>
      <c r="E1157" s="122" t="s">
        <v>4574</v>
      </c>
      <c r="F1157" s="123">
        <f t="shared" si="58"/>
        <v>2</v>
      </c>
      <c r="G1157" s="121" t="s">
        <v>4575</v>
      </c>
      <c r="H1157" s="124"/>
      <c r="I1157" s="122" t="s">
        <v>4576</v>
      </c>
      <c r="J1157" s="122" t="s">
        <v>4576</v>
      </c>
      <c r="K1157" s="125"/>
      <c r="L1157" s="125"/>
    </row>
    <row r="1158">
      <c r="A1158" s="119"/>
      <c r="B1158" s="119" t="s">
        <v>4517</v>
      </c>
      <c r="C1158" s="121" t="s">
        <v>4577</v>
      </c>
      <c r="D1158" s="121" t="s">
        <v>40</v>
      </c>
      <c r="E1158" s="122" t="s">
        <v>4075</v>
      </c>
      <c r="F1158" s="123">
        <f t="shared" si="58"/>
        <v>2</v>
      </c>
      <c r="G1158" s="121" t="s">
        <v>4578</v>
      </c>
      <c r="H1158" s="124"/>
      <c r="I1158" s="122" t="s">
        <v>4579</v>
      </c>
      <c r="J1158" s="122" t="s">
        <v>4579</v>
      </c>
      <c r="K1158" s="125"/>
      <c r="L1158" s="125"/>
    </row>
    <row r="1159">
      <c r="A1159" s="119"/>
      <c r="B1159" s="119" t="s">
        <v>4517</v>
      </c>
      <c r="C1159" s="121" t="s">
        <v>4580</v>
      </c>
      <c r="D1159" s="121" t="s">
        <v>16</v>
      </c>
      <c r="E1159" s="122" t="s">
        <v>3128</v>
      </c>
      <c r="F1159" s="123">
        <f t="shared" si="58"/>
        <v>2</v>
      </c>
      <c r="G1159" s="121" t="s">
        <v>4581</v>
      </c>
      <c r="H1159" s="124"/>
      <c r="I1159" s="122" t="s">
        <v>4582</v>
      </c>
      <c r="J1159" s="122" t="s">
        <v>4582</v>
      </c>
      <c r="K1159" s="125"/>
      <c r="L1159" s="125"/>
    </row>
    <row r="1160">
      <c r="A1160" s="119"/>
      <c r="B1160" s="119" t="s">
        <v>4517</v>
      </c>
      <c r="C1160" s="121" t="s">
        <v>4583</v>
      </c>
      <c r="D1160" s="121" t="s">
        <v>40</v>
      </c>
      <c r="E1160" s="122" t="s">
        <v>4584</v>
      </c>
      <c r="F1160" s="123">
        <f t="shared" si="58"/>
        <v>2</v>
      </c>
      <c r="G1160" s="121" t="s">
        <v>4583</v>
      </c>
      <c r="H1160" s="124"/>
      <c r="I1160" s="122" t="s">
        <v>4585</v>
      </c>
      <c r="J1160" s="122" t="s">
        <v>4585</v>
      </c>
      <c r="K1160" s="125"/>
      <c r="L1160" s="125"/>
    </row>
    <row r="1161">
      <c r="A1161" s="119"/>
      <c r="B1161" s="119" t="s">
        <v>4517</v>
      </c>
      <c r="C1161" s="121" t="s">
        <v>4586</v>
      </c>
      <c r="D1161" s="121" t="s">
        <v>4587</v>
      </c>
      <c r="E1161" s="122" t="s">
        <v>4588</v>
      </c>
      <c r="F1161" s="123">
        <f t="shared" si="58"/>
        <v>2</v>
      </c>
      <c r="G1161" s="121" t="s">
        <v>4589</v>
      </c>
      <c r="H1161" s="124"/>
      <c r="I1161" s="122" t="s">
        <v>4590</v>
      </c>
      <c r="J1161" s="122" t="s">
        <v>4590</v>
      </c>
      <c r="K1161" s="125"/>
      <c r="L1161" s="125"/>
    </row>
    <row r="1162">
      <c r="A1162" s="119"/>
      <c r="B1162" s="119" t="s">
        <v>4517</v>
      </c>
      <c r="C1162" s="121" t="s">
        <v>4591</v>
      </c>
      <c r="D1162" s="121" t="s">
        <v>4587</v>
      </c>
      <c r="E1162" s="122" t="s">
        <v>4592</v>
      </c>
      <c r="F1162" s="123">
        <f t="shared" si="58"/>
        <v>2</v>
      </c>
      <c r="G1162" s="121" t="s">
        <v>4593</v>
      </c>
      <c r="H1162" s="124"/>
      <c r="I1162" s="122" t="s">
        <v>4594</v>
      </c>
      <c r="J1162" s="122" t="s">
        <v>4594</v>
      </c>
      <c r="K1162" s="125"/>
      <c r="L1162" s="125"/>
    </row>
    <row r="1163">
      <c r="A1163" s="119"/>
      <c r="B1163" s="119" t="s">
        <v>4517</v>
      </c>
      <c r="C1163" s="121" t="s">
        <v>4595</v>
      </c>
      <c r="D1163" s="121" t="s">
        <v>4587</v>
      </c>
      <c r="E1163" s="122" t="s">
        <v>4596</v>
      </c>
      <c r="F1163" s="123">
        <f t="shared" si="58"/>
        <v>2</v>
      </c>
      <c r="G1163" s="121" t="s">
        <v>4595</v>
      </c>
      <c r="H1163" s="124"/>
      <c r="I1163" s="122" t="s">
        <v>4597</v>
      </c>
      <c r="J1163" s="122" t="s">
        <v>4597</v>
      </c>
      <c r="K1163" s="125"/>
      <c r="L1163" s="125"/>
    </row>
    <row r="1164">
      <c r="A1164" s="119"/>
      <c r="B1164" s="119" t="s">
        <v>4517</v>
      </c>
      <c r="C1164" s="121" t="s">
        <v>4598</v>
      </c>
      <c r="D1164" s="121" t="s">
        <v>4587</v>
      </c>
      <c r="E1164" s="122" t="s">
        <v>4599</v>
      </c>
      <c r="F1164" s="123">
        <f t="shared" si="58"/>
        <v>2</v>
      </c>
      <c r="G1164" s="121" t="s">
        <v>4600</v>
      </c>
      <c r="H1164" s="124"/>
      <c r="I1164" s="122" t="s">
        <v>4601</v>
      </c>
      <c r="J1164" s="122" t="s">
        <v>4601</v>
      </c>
      <c r="K1164" s="125"/>
      <c r="L1164" s="125"/>
    </row>
    <row r="1165">
      <c r="A1165" s="119"/>
      <c r="B1165" s="119" t="s">
        <v>4517</v>
      </c>
      <c r="C1165" s="121" t="s">
        <v>4602</v>
      </c>
      <c r="D1165" s="121" t="s">
        <v>4587</v>
      </c>
      <c r="E1165" s="122" t="s">
        <v>4603</v>
      </c>
      <c r="F1165" s="123">
        <f t="shared" si="58"/>
        <v>2</v>
      </c>
      <c r="G1165" s="121" t="s">
        <v>4602</v>
      </c>
      <c r="H1165" s="124"/>
      <c r="I1165" s="122" t="s">
        <v>4604</v>
      </c>
      <c r="J1165" s="122" t="s">
        <v>4604</v>
      </c>
      <c r="K1165" s="125"/>
      <c r="L1165" s="125"/>
    </row>
    <row r="1166">
      <c r="A1166" s="119"/>
      <c r="B1166" s="119" t="s">
        <v>4517</v>
      </c>
      <c r="C1166" s="121" t="s">
        <v>4605</v>
      </c>
      <c r="D1166" s="121" t="s">
        <v>4587</v>
      </c>
      <c r="E1166" s="122" t="s">
        <v>4606</v>
      </c>
      <c r="F1166" s="123">
        <f t="shared" si="58"/>
        <v>2</v>
      </c>
      <c r="G1166" s="121" t="s">
        <v>4607</v>
      </c>
      <c r="H1166" s="124"/>
      <c r="I1166" s="122" t="s">
        <v>4608</v>
      </c>
      <c r="J1166" s="122" t="s">
        <v>4608</v>
      </c>
      <c r="K1166" s="125"/>
      <c r="L1166" s="125"/>
    </row>
    <row r="1167">
      <c r="A1167" s="119"/>
      <c r="B1167" s="119" t="s">
        <v>4517</v>
      </c>
      <c r="C1167" s="121" t="s">
        <v>4609</v>
      </c>
      <c r="D1167" s="121" t="s">
        <v>4587</v>
      </c>
      <c r="E1167" s="122" t="s">
        <v>4610</v>
      </c>
      <c r="F1167" s="123">
        <f t="shared" si="58"/>
        <v>2</v>
      </c>
      <c r="G1167" s="121" t="s">
        <v>4611</v>
      </c>
      <c r="H1167" s="124"/>
      <c r="I1167" s="122" t="s">
        <v>4612</v>
      </c>
      <c r="J1167" s="122" t="s">
        <v>4612</v>
      </c>
      <c r="K1167" s="125"/>
      <c r="L1167" s="125"/>
    </row>
    <row r="1168">
      <c r="A1168" s="119"/>
      <c r="B1168" s="119" t="s">
        <v>4517</v>
      </c>
      <c r="C1168" s="121" t="s">
        <v>4613</v>
      </c>
      <c r="D1168" s="121" t="s">
        <v>4587</v>
      </c>
      <c r="E1168" s="122" t="s">
        <v>4614</v>
      </c>
      <c r="F1168" s="123">
        <f t="shared" si="58"/>
        <v>2</v>
      </c>
      <c r="G1168" s="121" t="s">
        <v>4615</v>
      </c>
      <c r="H1168" s="124"/>
      <c r="I1168" s="122" t="s">
        <v>4616</v>
      </c>
      <c r="J1168" s="122" t="s">
        <v>4616</v>
      </c>
      <c r="K1168" s="125"/>
      <c r="L1168" s="125"/>
    </row>
    <row r="1169">
      <c r="A1169" s="119"/>
      <c r="B1169" s="119" t="s">
        <v>4517</v>
      </c>
      <c r="C1169" s="121" t="s">
        <v>4617</v>
      </c>
      <c r="D1169" s="121" t="s">
        <v>4587</v>
      </c>
      <c r="E1169" s="122" t="s">
        <v>4618</v>
      </c>
      <c r="F1169" s="123">
        <f t="shared" si="58"/>
        <v>2</v>
      </c>
      <c r="G1169" s="121" t="s">
        <v>4619</v>
      </c>
      <c r="H1169" s="124"/>
      <c r="I1169" s="122" t="s">
        <v>4620</v>
      </c>
      <c r="J1169" s="122" t="s">
        <v>4620</v>
      </c>
      <c r="K1169" s="125"/>
      <c r="L1169" s="125"/>
    </row>
    <row r="1170">
      <c r="A1170" s="119"/>
      <c r="B1170" s="119" t="s">
        <v>4517</v>
      </c>
      <c r="C1170" s="121" t="s">
        <v>4621</v>
      </c>
      <c r="D1170" s="121" t="s">
        <v>4587</v>
      </c>
      <c r="E1170" s="122" t="s">
        <v>984</v>
      </c>
      <c r="F1170" s="123">
        <f t="shared" si="58"/>
        <v>2</v>
      </c>
      <c r="G1170" s="121" t="s">
        <v>4622</v>
      </c>
      <c r="H1170" s="124"/>
      <c r="I1170" s="122" t="s">
        <v>4623</v>
      </c>
      <c r="J1170" s="122" t="s">
        <v>4623</v>
      </c>
      <c r="K1170" s="125"/>
      <c r="L1170" s="125"/>
    </row>
    <row r="1171">
      <c r="A1171" s="119"/>
      <c r="B1171" s="119" t="s">
        <v>4517</v>
      </c>
      <c r="C1171" s="121" t="s">
        <v>4624</v>
      </c>
      <c r="D1171" s="121" t="s">
        <v>4587</v>
      </c>
      <c r="E1171" s="122" t="s">
        <v>4625</v>
      </c>
      <c r="F1171" s="123">
        <f t="shared" si="58"/>
        <v>2</v>
      </c>
      <c r="G1171" s="121" t="s">
        <v>4626</v>
      </c>
      <c r="H1171" s="124"/>
      <c r="I1171" s="122" t="s">
        <v>4627</v>
      </c>
      <c r="J1171" s="122" t="s">
        <v>4627</v>
      </c>
      <c r="K1171" s="125"/>
      <c r="L1171" s="125"/>
    </row>
    <row r="1172">
      <c r="A1172" s="119"/>
      <c r="B1172" s="119" t="s">
        <v>4517</v>
      </c>
      <c r="C1172" s="121" t="s">
        <v>436</v>
      </c>
      <c r="D1172" s="121" t="s">
        <v>4587</v>
      </c>
      <c r="E1172" s="122" t="s">
        <v>4628</v>
      </c>
      <c r="F1172" s="123">
        <f t="shared" si="58"/>
        <v>2</v>
      </c>
      <c r="G1172" s="121" t="s">
        <v>436</v>
      </c>
      <c r="H1172" s="124"/>
      <c r="I1172" s="122" t="s">
        <v>4629</v>
      </c>
      <c r="J1172" s="126" t="s">
        <v>4629</v>
      </c>
      <c r="K1172" s="125"/>
      <c r="L1172" s="125"/>
    </row>
    <row r="1173">
      <c r="A1173" s="119"/>
      <c r="B1173" s="119" t="s">
        <v>4517</v>
      </c>
      <c r="C1173" s="121" t="s">
        <v>4630</v>
      </c>
      <c r="D1173" s="121" t="s">
        <v>4587</v>
      </c>
      <c r="E1173" s="122" t="s">
        <v>4631</v>
      </c>
      <c r="F1173" s="123">
        <f t="shared" si="58"/>
        <v>2</v>
      </c>
      <c r="G1173" s="121" t="s">
        <v>4632</v>
      </c>
      <c r="H1173" s="124"/>
      <c r="I1173" s="122" t="s">
        <v>4633</v>
      </c>
      <c r="J1173" s="122" t="s">
        <v>4633</v>
      </c>
      <c r="K1173" s="125"/>
      <c r="L1173" s="125"/>
    </row>
    <row r="1174">
      <c r="A1174" s="119"/>
      <c r="B1174" s="119" t="s">
        <v>4517</v>
      </c>
      <c r="C1174" s="121" t="s">
        <v>4634</v>
      </c>
      <c r="D1174" s="121" t="s">
        <v>4587</v>
      </c>
      <c r="E1174" s="122" t="s">
        <v>4635</v>
      </c>
      <c r="F1174" s="123">
        <f t="shared" si="58"/>
        <v>2</v>
      </c>
      <c r="G1174" s="121" t="s">
        <v>4636</v>
      </c>
      <c r="H1174" s="124"/>
      <c r="I1174" s="122" t="s">
        <v>4637</v>
      </c>
      <c r="J1174" s="122" t="s">
        <v>4637</v>
      </c>
      <c r="K1174" s="125"/>
      <c r="L1174" s="125"/>
    </row>
    <row r="1175">
      <c r="A1175" s="119"/>
      <c r="B1175" s="119" t="s">
        <v>4517</v>
      </c>
      <c r="C1175" s="121" t="s">
        <v>4638</v>
      </c>
      <c r="D1175" s="121" t="s">
        <v>4587</v>
      </c>
      <c r="E1175" s="122" t="s">
        <v>4639</v>
      </c>
      <c r="F1175" s="123">
        <f t="shared" si="58"/>
        <v>2</v>
      </c>
      <c r="G1175" s="121" t="s">
        <v>4640</v>
      </c>
      <c r="H1175" s="124"/>
      <c r="I1175" s="122" t="s">
        <v>4641</v>
      </c>
      <c r="J1175" s="122" t="s">
        <v>4641</v>
      </c>
      <c r="K1175" s="125"/>
      <c r="L1175" s="125"/>
    </row>
    <row r="1176">
      <c r="A1176" s="119"/>
      <c r="B1176" s="119" t="s">
        <v>4517</v>
      </c>
      <c r="C1176" s="121" t="s">
        <v>4642</v>
      </c>
      <c r="D1176" s="121" t="s">
        <v>4587</v>
      </c>
      <c r="E1176" s="122" t="s">
        <v>4643</v>
      </c>
      <c r="F1176" s="123">
        <f t="shared" si="58"/>
        <v>2</v>
      </c>
      <c r="G1176" s="121" t="s">
        <v>4644</v>
      </c>
      <c r="H1176" s="124"/>
      <c r="I1176" s="122" t="s">
        <v>4645</v>
      </c>
      <c r="J1176" s="122" t="s">
        <v>4645</v>
      </c>
      <c r="K1176" s="125"/>
      <c r="L1176" s="125"/>
    </row>
    <row r="1177">
      <c r="A1177" s="119"/>
      <c r="B1177" s="119" t="s">
        <v>4517</v>
      </c>
      <c r="C1177" s="121" t="s">
        <v>4646</v>
      </c>
      <c r="D1177" s="121" t="s">
        <v>4587</v>
      </c>
      <c r="E1177" s="122" t="s">
        <v>4647</v>
      </c>
      <c r="F1177" s="123">
        <f t="shared" si="58"/>
        <v>2</v>
      </c>
      <c r="G1177" s="121" t="s">
        <v>4646</v>
      </c>
      <c r="H1177" s="124"/>
      <c r="I1177" s="122" t="s">
        <v>4648</v>
      </c>
      <c r="J1177" s="122" t="s">
        <v>4648</v>
      </c>
      <c r="K1177" s="125"/>
      <c r="L1177" s="125"/>
    </row>
    <row r="1178">
      <c r="A1178" s="119"/>
      <c r="B1178" s="119" t="s">
        <v>4517</v>
      </c>
      <c r="C1178" s="121" t="s">
        <v>4649</v>
      </c>
      <c r="D1178" s="121" t="s">
        <v>4587</v>
      </c>
      <c r="E1178" s="122" t="s">
        <v>4650</v>
      </c>
      <c r="F1178" s="123">
        <f t="shared" si="58"/>
        <v>2</v>
      </c>
      <c r="G1178" s="121" t="s">
        <v>4651</v>
      </c>
      <c r="H1178" s="124"/>
      <c r="I1178" s="122" t="s">
        <v>4652</v>
      </c>
      <c r="J1178" s="122" t="s">
        <v>4652</v>
      </c>
      <c r="K1178" s="125"/>
      <c r="L1178" s="125"/>
    </row>
    <row r="1179">
      <c r="A1179" s="119"/>
      <c r="B1179" s="119" t="s">
        <v>4517</v>
      </c>
      <c r="C1179" s="121" t="s">
        <v>4653</v>
      </c>
      <c r="D1179" s="121" t="s">
        <v>16</v>
      </c>
      <c r="E1179" s="122" t="s">
        <v>4654</v>
      </c>
      <c r="F1179" s="123">
        <f t="shared" si="58"/>
        <v>2</v>
      </c>
      <c r="G1179" s="121" t="s">
        <v>4655</v>
      </c>
      <c r="H1179" s="124"/>
      <c r="I1179" s="122" t="s">
        <v>4656</v>
      </c>
      <c r="J1179" s="122" t="s">
        <v>4656</v>
      </c>
      <c r="K1179" s="125"/>
      <c r="L1179" s="125"/>
    </row>
    <row r="1180">
      <c r="A1180" s="119"/>
      <c r="B1180" s="119" t="s">
        <v>4517</v>
      </c>
      <c r="C1180" s="121" t="s">
        <v>4657</v>
      </c>
      <c r="D1180" s="121" t="s">
        <v>40</v>
      </c>
      <c r="E1180" s="122" t="s">
        <v>4658</v>
      </c>
      <c r="F1180" s="123">
        <f t="shared" si="58"/>
        <v>2</v>
      </c>
      <c r="G1180" s="121" t="s">
        <v>4657</v>
      </c>
      <c r="H1180" s="124"/>
      <c r="I1180" s="122" t="s">
        <v>4659</v>
      </c>
      <c r="J1180" s="122" t="s">
        <v>4659</v>
      </c>
      <c r="K1180" s="125"/>
      <c r="L1180" s="125"/>
    </row>
    <row r="1181">
      <c r="A1181" s="119"/>
      <c r="B1181" s="119" t="s">
        <v>4517</v>
      </c>
      <c r="C1181" s="121" t="s">
        <v>4660</v>
      </c>
      <c r="D1181" s="121" t="s">
        <v>40</v>
      </c>
      <c r="E1181" s="122" t="s">
        <v>4661</v>
      </c>
      <c r="F1181" s="123">
        <f t="shared" si="58"/>
        <v>2</v>
      </c>
      <c r="G1181" s="121" t="s">
        <v>4662</v>
      </c>
      <c r="H1181" s="124"/>
      <c r="I1181" s="122" t="s">
        <v>4663</v>
      </c>
      <c r="J1181" s="122" t="s">
        <v>4663</v>
      </c>
      <c r="K1181" s="125"/>
      <c r="L1181" s="125"/>
    </row>
    <row r="1182">
      <c r="A1182" s="119"/>
      <c r="B1182" s="119" t="s">
        <v>4517</v>
      </c>
      <c r="C1182" s="121" t="s">
        <v>4664</v>
      </c>
      <c r="D1182" s="121" t="s">
        <v>4587</v>
      </c>
      <c r="E1182" s="122" t="s">
        <v>4665</v>
      </c>
      <c r="F1182" s="123">
        <f t="shared" si="58"/>
        <v>2</v>
      </c>
      <c r="G1182" s="121" t="s">
        <v>4666</v>
      </c>
      <c r="H1182" s="124"/>
      <c r="I1182" s="122" t="s">
        <v>4667</v>
      </c>
      <c r="J1182" s="122" t="s">
        <v>4667</v>
      </c>
      <c r="K1182" s="125"/>
      <c r="L1182" s="125"/>
    </row>
    <row r="1183">
      <c r="A1183" s="119"/>
      <c r="B1183" s="119" t="s">
        <v>4517</v>
      </c>
      <c r="C1183" s="121" t="s">
        <v>4668</v>
      </c>
      <c r="D1183" s="121" t="s">
        <v>4587</v>
      </c>
      <c r="E1183" s="122" t="s">
        <v>4668</v>
      </c>
      <c r="F1183" s="123">
        <f t="shared" si="58"/>
        <v>2</v>
      </c>
      <c r="G1183" s="121" t="s">
        <v>4668</v>
      </c>
      <c r="H1183" s="124"/>
      <c r="I1183" s="122" t="s">
        <v>4669</v>
      </c>
      <c r="J1183" s="122" t="s">
        <v>4669</v>
      </c>
      <c r="K1183" s="125"/>
      <c r="L1183" s="125"/>
    </row>
    <row r="1184">
      <c r="A1184" s="119"/>
      <c r="B1184" s="119" t="s">
        <v>4517</v>
      </c>
      <c r="C1184" s="121" t="s">
        <v>4670</v>
      </c>
      <c r="D1184" s="121" t="s">
        <v>4587</v>
      </c>
      <c r="E1184" s="122" t="s">
        <v>4671</v>
      </c>
      <c r="F1184" s="123">
        <f t="shared" si="58"/>
        <v>2</v>
      </c>
      <c r="G1184" s="121" t="s">
        <v>4672</v>
      </c>
      <c r="H1184" s="124"/>
      <c r="I1184" s="122" t="s">
        <v>4673</v>
      </c>
      <c r="J1184" s="122" t="s">
        <v>4673</v>
      </c>
      <c r="K1184" s="125"/>
      <c r="L1184" s="125"/>
    </row>
    <row r="1185">
      <c r="A1185" s="119"/>
      <c r="B1185" s="119" t="s">
        <v>4517</v>
      </c>
      <c r="C1185" s="121" t="s">
        <v>4674</v>
      </c>
      <c r="D1185" s="121" t="s">
        <v>4587</v>
      </c>
      <c r="E1185" s="122" t="s">
        <v>4675</v>
      </c>
      <c r="F1185" s="123">
        <f t="shared" si="58"/>
        <v>2</v>
      </c>
      <c r="G1185" s="121" t="s">
        <v>4676</v>
      </c>
      <c r="H1185" s="124"/>
      <c r="I1185" s="122" t="s">
        <v>4677</v>
      </c>
      <c r="J1185" s="122" t="s">
        <v>4677</v>
      </c>
      <c r="K1185" s="125"/>
      <c r="L1185" s="125"/>
    </row>
    <row r="1186">
      <c r="A1186" s="119"/>
      <c r="B1186" s="119" t="s">
        <v>4517</v>
      </c>
      <c r="C1186" s="121" t="s">
        <v>4678</v>
      </c>
      <c r="D1186" s="121" t="s">
        <v>4587</v>
      </c>
      <c r="E1186" s="122" t="s">
        <v>4678</v>
      </c>
      <c r="F1186" s="123">
        <f t="shared" si="58"/>
        <v>2</v>
      </c>
      <c r="G1186" s="121" t="s">
        <v>4678</v>
      </c>
      <c r="H1186" s="124"/>
      <c r="I1186" s="122" t="s">
        <v>4679</v>
      </c>
      <c r="J1186" s="122" t="s">
        <v>4679</v>
      </c>
      <c r="K1186" s="125"/>
      <c r="L1186" s="125"/>
    </row>
    <row r="1187">
      <c r="A1187" s="119"/>
      <c r="B1187" s="119" t="s">
        <v>4517</v>
      </c>
      <c r="C1187" s="121" t="s">
        <v>4680</v>
      </c>
      <c r="D1187" s="121" t="s">
        <v>4587</v>
      </c>
      <c r="E1187" s="122" t="s">
        <v>4681</v>
      </c>
      <c r="F1187" s="123">
        <f t="shared" si="58"/>
        <v>2</v>
      </c>
      <c r="G1187" s="121" t="s">
        <v>4682</v>
      </c>
      <c r="H1187" s="124"/>
      <c r="I1187" s="122" t="s">
        <v>4683</v>
      </c>
      <c r="J1187" s="122" t="s">
        <v>4683</v>
      </c>
      <c r="K1187" s="125"/>
      <c r="L1187" s="125"/>
    </row>
    <row r="1188">
      <c r="A1188" s="119"/>
      <c r="B1188" s="119" t="s">
        <v>4517</v>
      </c>
      <c r="C1188" s="121" t="s">
        <v>4684</v>
      </c>
      <c r="D1188" s="121" t="s">
        <v>40</v>
      </c>
      <c r="E1188" s="122" t="s">
        <v>4685</v>
      </c>
      <c r="F1188" s="123">
        <f t="shared" si="58"/>
        <v>2</v>
      </c>
      <c r="G1188" s="121" t="s">
        <v>4686</v>
      </c>
      <c r="H1188" s="124"/>
      <c r="I1188" s="122" t="s">
        <v>4687</v>
      </c>
      <c r="J1188" s="122" t="s">
        <v>4687</v>
      </c>
      <c r="K1188" s="125"/>
      <c r="L1188" s="125"/>
    </row>
    <row r="1189">
      <c r="A1189" s="119"/>
      <c r="B1189" s="119" t="s">
        <v>4517</v>
      </c>
      <c r="C1189" s="121" t="s">
        <v>4688</v>
      </c>
      <c r="D1189" s="121" t="s">
        <v>40</v>
      </c>
      <c r="E1189" s="122" t="s">
        <v>4689</v>
      </c>
      <c r="F1189" s="123">
        <f t="shared" si="58"/>
        <v>2</v>
      </c>
      <c r="G1189" s="121" t="s">
        <v>4690</v>
      </c>
      <c r="H1189" s="124"/>
      <c r="I1189" s="122" t="s">
        <v>4691</v>
      </c>
      <c r="J1189" s="122" t="s">
        <v>4691</v>
      </c>
      <c r="K1189" s="125"/>
      <c r="L1189" s="125"/>
    </row>
    <row r="1190">
      <c r="A1190" s="119"/>
      <c r="B1190" s="119" t="s">
        <v>4517</v>
      </c>
      <c r="C1190" s="121" t="s">
        <v>4692</v>
      </c>
      <c r="D1190" s="121" t="s">
        <v>40</v>
      </c>
      <c r="E1190" s="122" t="s">
        <v>4693</v>
      </c>
      <c r="F1190" s="123">
        <f t="shared" si="58"/>
        <v>2</v>
      </c>
      <c r="G1190" s="121" t="s">
        <v>4694</v>
      </c>
      <c r="H1190" s="121"/>
      <c r="I1190" s="122" t="s">
        <v>4695</v>
      </c>
      <c r="J1190" s="122" t="s">
        <v>4695</v>
      </c>
      <c r="K1190" s="125"/>
      <c r="L1190" s="125"/>
    </row>
    <row r="1191">
      <c r="A1191" s="119"/>
      <c r="B1191" s="119" t="s">
        <v>4517</v>
      </c>
      <c r="C1191" s="121" t="s">
        <v>4696</v>
      </c>
      <c r="D1191" s="121" t="s">
        <v>40</v>
      </c>
      <c r="E1191" s="122" t="s">
        <v>4697</v>
      </c>
      <c r="F1191" s="123">
        <f t="shared" si="58"/>
        <v>2</v>
      </c>
      <c r="G1191" s="121" t="s">
        <v>4698</v>
      </c>
      <c r="H1191" s="124"/>
      <c r="I1191" s="122" t="s">
        <v>4699</v>
      </c>
      <c r="J1191" s="122" t="s">
        <v>4699</v>
      </c>
      <c r="K1191" s="125"/>
      <c r="L1191" s="125"/>
    </row>
    <row r="1192">
      <c r="A1192" s="119"/>
      <c r="B1192" s="119" t="s">
        <v>4517</v>
      </c>
      <c r="C1192" s="121" t="s">
        <v>4700</v>
      </c>
      <c r="D1192" s="121" t="s">
        <v>40</v>
      </c>
      <c r="E1192" s="122" t="s">
        <v>4701</v>
      </c>
      <c r="F1192" s="123">
        <f t="shared" si="58"/>
        <v>2</v>
      </c>
      <c r="G1192" s="121" t="s">
        <v>4702</v>
      </c>
      <c r="H1192" s="124"/>
      <c r="I1192" s="122" t="s">
        <v>4703</v>
      </c>
      <c r="J1192" s="122" t="s">
        <v>4703</v>
      </c>
      <c r="K1192" s="125"/>
      <c r="L1192" s="125"/>
    </row>
    <row r="1193">
      <c r="A1193" s="119"/>
      <c r="B1193" s="119" t="s">
        <v>4517</v>
      </c>
      <c r="C1193" s="121" t="s">
        <v>4704</v>
      </c>
      <c r="D1193" s="121" t="s">
        <v>40</v>
      </c>
      <c r="E1193" s="122" t="s">
        <v>4704</v>
      </c>
      <c r="F1193" s="123">
        <f t="shared" si="58"/>
        <v>2</v>
      </c>
      <c r="G1193" s="121" t="s">
        <v>4705</v>
      </c>
      <c r="H1193" s="124"/>
      <c r="I1193" s="122" t="s">
        <v>4706</v>
      </c>
      <c r="J1193" s="122" t="s">
        <v>4706</v>
      </c>
      <c r="K1193" s="125"/>
      <c r="L1193" s="125"/>
    </row>
    <row r="1194">
      <c r="A1194" s="119"/>
      <c r="B1194" s="119" t="s">
        <v>4517</v>
      </c>
      <c r="C1194" s="121" t="s">
        <v>4707</v>
      </c>
      <c r="D1194" s="121" t="s">
        <v>40</v>
      </c>
      <c r="E1194" s="122" t="s">
        <v>4708</v>
      </c>
      <c r="F1194" s="123">
        <f t="shared" si="58"/>
        <v>2</v>
      </c>
      <c r="G1194" s="121" t="s">
        <v>4709</v>
      </c>
      <c r="H1194" s="124"/>
      <c r="I1194" s="122" t="s">
        <v>4710</v>
      </c>
      <c r="J1194" s="122" t="s">
        <v>4710</v>
      </c>
      <c r="K1194" s="125"/>
      <c r="L1194" s="125"/>
    </row>
    <row r="1195">
      <c r="A1195" s="119"/>
      <c r="B1195" s="119" t="s">
        <v>4517</v>
      </c>
      <c r="C1195" s="121" t="s">
        <v>4711</v>
      </c>
      <c r="D1195" s="121" t="s">
        <v>40</v>
      </c>
      <c r="E1195" s="122" t="s">
        <v>4712</v>
      </c>
      <c r="F1195" s="123">
        <f t="shared" si="58"/>
        <v>2</v>
      </c>
      <c r="G1195" s="121" t="s">
        <v>4713</v>
      </c>
      <c r="H1195" s="124"/>
      <c r="I1195" s="122" t="s">
        <v>4714</v>
      </c>
      <c r="J1195" s="122" t="s">
        <v>4714</v>
      </c>
      <c r="K1195" s="125"/>
      <c r="L1195" s="125"/>
    </row>
    <row r="1196">
      <c r="A1196" s="119"/>
      <c r="B1196" s="119" t="s">
        <v>4517</v>
      </c>
      <c r="C1196" s="121" t="s">
        <v>4715</v>
      </c>
      <c r="D1196" s="121" t="s">
        <v>40</v>
      </c>
      <c r="E1196" s="122" t="s">
        <v>4716</v>
      </c>
      <c r="F1196" s="123">
        <f t="shared" si="58"/>
        <v>2</v>
      </c>
      <c r="G1196" s="121" t="s">
        <v>4717</v>
      </c>
      <c r="H1196" s="124"/>
      <c r="I1196" s="122" t="s">
        <v>4718</v>
      </c>
      <c r="J1196" s="122" t="s">
        <v>4718</v>
      </c>
      <c r="K1196" s="125"/>
      <c r="L1196" s="125"/>
    </row>
    <row r="1197">
      <c r="A1197" s="119"/>
      <c r="B1197" s="119" t="s">
        <v>4517</v>
      </c>
      <c r="C1197" s="121" t="s">
        <v>4719</v>
      </c>
      <c r="D1197" s="121" t="s">
        <v>40</v>
      </c>
      <c r="E1197" s="122" t="s">
        <v>4720</v>
      </c>
      <c r="F1197" s="123">
        <f t="shared" si="58"/>
        <v>2</v>
      </c>
      <c r="G1197" s="121" t="s">
        <v>4721</v>
      </c>
      <c r="H1197" s="124"/>
      <c r="I1197" s="122" t="s">
        <v>4722</v>
      </c>
      <c r="J1197" s="122" t="s">
        <v>4722</v>
      </c>
      <c r="K1197" s="125"/>
      <c r="L1197" s="125"/>
    </row>
    <row r="1198">
      <c r="A1198" s="119"/>
      <c r="B1198" s="119" t="s">
        <v>4517</v>
      </c>
      <c r="C1198" s="121" t="s">
        <v>4723</v>
      </c>
      <c r="D1198" s="121" t="s">
        <v>40</v>
      </c>
      <c r="E1198" s="122" t="s">
        <v>4724</v>
      </c>
      <c r="F1198" s="123">
        <f t="shared" si="58"/>
        <v>2</v>
      </c>
      <c r="G1198" s="121" t="s">
        <v>4725</v>
      </c>
      <c r="H1198" s="124"/>
      <c r="I1198" s="122" t="s">
        <v>4726</v>
      </c>
      <c r="J1198" s="122" t="s">
        <v>4726</v>
      </c>
      <c r="K1198" s="125"/>
      <c r="L1198" s="125"/>
    </row>
    <row r="1199">
      <c r="A1199" s="119"/>
      <c r="B1199" s="119" t="s">
        <v>4517</v>
      </c>
      <c r="C1199" s="121" t="s">
        <v>4727</v>
      </c>
      <c r="D1199" s="121" t="s">
        <v>40</v>
      </c>
      <c r="E1199" s="122" t="s">
        <v>4728</v>
      </c>
      <c r="F1199" s="123">
        <f t="shared" si="58"/>
        <v>1</v>
      </c>
      <c r="G1199" s="121" t="s">
        <v>4729</v>
      </c>
      <c r="H1199" s="124"/>
      <c r="I1199" s="122"/>
      <c r="J1199" s="122" t="s">
        <v>4730</v>
      </c>
      <c r="K1199" s="125"/>
      <c r="L1199" s="125"/>
    </row>
    <row r="1200">
      <c r="A1200" s="119"/>
      <c r="B1200" s="119" t="s">
        <v>4517</v>
      </c>
      <c r="C1200" s="121" t="s">
        <v>4731</v>
      </c>
      <c r="D1200" s="121" t="s">
        <v>40</v>
      </c>
      <c r="E1200" s="122" t="s">
        <v>4732</v>
      </c>
      <c r="F1200" s="123">
        <f t="shared" si="58"/>
        <v>2</v>
      </c>
      <c r="G1200" s="121" t="s">
        <v>4733</v>
      </c>
      <c r="H1200" s="124"/>
      <c r="I1200" s="122" t="s">
        <v>4734</v>
      </c>
      <c r="J1200" s="122" t="s">
        <v>4734</v>
      </c>
      <c r="K1200" s="125"/>
      <c r="L1200" s="125"/>
    </row>
    <row r="1201">
      <c r="A1201" s="119"/>
      <c r="B1201" s="119" t="s">
        <v>4517</v>
      </c>
      <c r="C1201" s="121" t="s">
        <v>4735</v>
      </c>
      <c r="D1201" s="121" t="s">
        <v>40</v>
      </c>
      <c r="E1201" s="122" t="s">
        <v>4736</v>
      </c>
      <c r="F1201" s="123">
        <f t="shared" si="58"/>
        <v>2</v>
      </c>
      <c r="G1201" s="121" t="s">
        <v>4737</v>
      </c>
      <c r="H1201" s="124"/>
      <c r="I1201" s="122" t="s">
        <v>4738</v>
      </c>
      <c r="J1201" s="122" t="s">
        <v>4738</v>
      </c>
      <c r="K1201" s="125"/>
      <c r="L1201" s="125"/>
    </row>
    <row r="1202">
      <c r="A1202" s="119"/>
      <c r="B1202" s="119" t="s">
        <v>4517</v>
      </c>
      <c r="C1202" s="121" t="s">
        <v>4739</v>
      </c>
      <c r="D1202" s="121" t="s">
        <v>40</v>
      </c>
      <c r="E1202" s="122" t="s">
        <v>4740</v>
      </c>
      <c r="F1202" s="123">
        <f t="shared" si="58"/>
        <v>2</v>
      </c>
      <c r="G1202" s="121" t="s">
        <v>4741</v>
      </c>
      <c r="H1202" s="124"/>
      <c r="I1202" s="122" t="s">
        <v>4742</v>
      </c>
      <c r="J1202" s="122" t="s">
        <v>4742</v>
      </c>
      <c r="K1202" s="125"/>
      <c r="L1202" s="125"/>
    </row>
    <row r="1203">
      <c r="A1203" s="119"/>
      <c r="B1203" s="119" t="s">
        <v>4517</v>
      </c>
      <c r="C1203" s="121" t="s">
        <v>4743</v>
      </c>
      <c r="D1203" s="121" t="s">
        <v>40</v>
      </c>
      <c r="E1203" s="122" t="s">
        <v>4743</v>
      </c>
      <c r="F1203" s="123">
        <f t="shared" si="58"/>
        <v>2</v>
      </c>
      <c r="G1203" s="121" t="s">
        <v>4743</v>
      </c>
      <c r="H1203" s="124"/>
      <c r="I1203" s="122" t="s">
        <v>4744</v>
      </c>
      <c r="J1203" s="122" t="s">
        <v>4744</v>
      </c>
      <c r="K1203" s="125"/>
      <c r="L1203" s="125"/>
    </row>
    <row r="1204">
      <c r="A1204" s="119"/>
      <c r="B1204" s="119" t="s">
        <v>4517</v>
      </c>
      <c r="C1204" s="121" t="s">
        <v>4745</v>
      </c>
      <c r="D1204" s="121" t="s">
        <v>40</v>
      </c>
      <c r="E1204" s="122" t="s">
        <v>4745</v>
      </c>
      <c r="F1204" s="123">
        <f t="shared" si="58"/>
        <v>2</v>
      </c>
      <c r="G1204" s="121" t="s">
        <v>4745</v>
      </c>
      <c r="H1204" s="124"/>
      <c r="I1204" s="122" t="s">
        <v>4746</v>
      </c>
      <c r="J1204" s="122" t="s">
        <v>4746</v>
      </c>
      <c r="K1204" s="125"/>
      <c r="L1204" s="125"/>
    </row>
    <row r="1205">
      <c r="A1205" s="119"/>
      <c r="B1205" s="119" t="s">
        <v>4517</v>
      </c>
      <c r="C1205" s="121" t="s">
        <v>4747</v>
      </c>
      <c r="D1205" s="121" t="s">
        <v>40</v>
      </c>
      <c r="E1205" s="122" t="s">
        <v>4748</v>
      </c>
      <c r="F1205" s="123">
        <f t="shared" si="58"/>
        <v>2</v>
      </c>
      <c r="G1205" s="121" t="s">
        <v>4749</v>
      </c>
      <c r="H1205" s="124"/>
      <c r="I1205" s="122" t="s">
        <v>4750</v>
      </c>
      <c r="J1205" s="122" t="s">
        <v>4750</v>
      </c>
      <c r="K1205" s="125"/>
      <c r="L1205" s="125"/>
    </row>
    <row r="1206">
      <c r="A1206" s="33"/>
      <c r="B1206" s="33"/>
      <c r="C1206" s="118"/>
      <c r="D1206" s="118"/>
      <c r="F1206" s="14"/>
      <c r="G1206" s="12" t="s">
        <v>851</v>
      </c>
      <c r="H1206" s="118"/>
    </row>
    <row r="1207">
      <c r="A1207" s="119" t="s">
        <v>4205</v>
      </c>
      <c r="B1207" s="119" t="s">
        <v>4751</v>
      </c>
      <c r="C1207" s="121" t="s">
        <v>4752</v>
      </c>
      <c r="D1207" s="121" t="s">
        <v>483</v>
      </c>
      <c r="E1207" s="125"/>
      <c r="F1207" s="123">
        <f t="shared" ref="F1207:F1219" si="59">counta(I1207:J1207)</f>
        <v>2</v>
      </c>
      <c r="G1207" s="121" t="s">
        <v>4752</v>
      </c>
      <c r="H1207" s="124"/>
      <c r="I1207" s="122" t="s">
        <v>4753</v>
      </c>
      <c r="J1207" s="122" t="s">
        <v>4753</v>
      </c>
      <c r="K1207" s="125"/>
      <c r="L1207" s="125"/>
    </row>
    <row r="1208">
      <c r="A1208" s="119"/>
      <c r="B1208" s="119" t="s">
        <v>4751</v>
      </c>
      <c r="C1208" s="121" t="s">
        <v>4754</v>
      </c>
      <c r="D1208" s="121" t="s">
        <v>483</v>
      </c>
      <c r="E1208" s="125"/>
      <c r="F1208" s="123">
        <f t="shared" si="59"/>
        <v>2</v>
      </c>
      <c r="G1208" s="121" t="s">
        <v>4754</v>
      </c>
      <c r="H1208" s="124"/>
      <c r="I1208" s="122" t="s">
        <v>4755</v>
      </c>
      <c r="J1208" s="122" t="s">
        <v>4755</v>
      </c>
      <c r="K1208" s="125"/>
      <c r="L1208" s="125"/>
    </row>
    <row r="1209">
      <c r="A1209" s="119"/>
      <c r="B1209" s="119" t="s">
        <v>4751</v>
      </c>
      <c r="C1209" s="121" t="s">
        <v>4756</v>
      </c>
      <c r="D1209" s="121" t="s">
        <v>483</v>
      </c>
      <c r="E1209" s="125"/>
      <c r="F1209" s="123">
        <f t="shared" si="59"/>
        <v>2</v>
      </c>
      <c r="G1209" s="121" t="s">
        <v>4757</v>
      </c>
      <c r="H1209" s="124"/>
      <c r="I1209" s="122" t="s">
        <v>4758</v>
      </c>
      <c r="J1209" s="122" t="s">
        <v>4758</v>
      </c>
      <c r="K1209" s="125"/>
      <c r="L1209" s="125"/>
    </row>
    <row r="1210">
      <c r="A1210" s="119"/>
      <c r="B1210" s="119" t="s">
        <v>4751</v>
      </c>
      <c r="C1210" s="121" t="s">
        <v>4759</v>
      </c>
      <c r="D1210" s="121" t="s">
        <v>4760</v>
      </c>
      <c r="E1210" s="122" t="s">
        <v>4761</v>
      </c>
      <c r="F1210" s="123">
        <f t="shared" si="59"/>
        <v>2</v>
      </c>
      <c r="G1210" s="121" t="s">
        <v>4762</v>
      </c>
      <c r="H1210" s="124"/>
      <c r="I1210" s="122" t="s">
        <v>4763</v>
      </c>
      <c r="J1210" s="122" t="s">
        <v>4763</v>
      </c>
      <c r="K1210" s="125"/>
      <c r="L1210" s="125"/>
    </row>
    <row r="1211">
      <c r="A1211" s="119"/>
      <c r="B1211" s="119" t="s">
        <v>4751</v>
      </c>
      <c r="C1211" s="121" t="s">
        <v>4764</v>
      </c>
      <c r="D1211" s="121" t="s">
        <v>4760</v>
      </c>
      <c r="E1211" s="122" t="s">
        <v>4765</v>
      </c>
      <c r="F1211" s="123">
        <f t="shared" si="59"/>
        <v>2</v>
      </c>
      <c r="G1211" s="121" t="s">
        <v>4766</v>
      </c>
      <c r="H1211" s="124"/>
      <c r="I1211" s="122" t="s">
        <v>4767</v>
      </c>
      <c r="J1211" s="122" t="s">
        <v>4767</v>
      </c>
      <c r="K1211" s="125"/>
      <c r="L1211" s="125"/>
    </row>
    <row r="1212">
      <c r="A1212" s="119"/>
      <c r="B1212" s="119" t="s">
        <v>4751</v>
      </c>
      <c r="C1212" s="121" t="s">
        <v>4768</v>
      </c>
      <c r="D1212" s="121" t="s">
        <v>4760</v>
      </c>
      <c r="E1212" s="122" t="s">
        <v>4769</v>
      </c>
      <c r="F1212" s="123">
        <f t="shared" si="59"/>
        <v>2</v>
      </c>
      <c r="G1212" s="121" t="s">
        <v>4770</v>
      </c>
      <c r="H1212" s="124"/>
      <c r="I1212" s="122" t="s">
        <v>4771</v>
      </c>
      <c r="J1212" s="122" t="s">
        <v>4771</v>
      </c>
      <c r="K1212" s="125"/>
      <c r="L1212" s="125"/>
    </row>
    <row r="1213">
      <c r="A1213" s="119"/>
      <c r="B1213" s="119" t="s">
        <v>4751</v>
      </c>
      <c r="C1213" s="121" t="s">
        <v>4772</v>
      </c>
      <c r="D1213" s="121" t="s">
        <v>4760</v>
      </c>
      <c r="E1213" s="122" t="s">
        <v>4773</v>
      </c>
      <c r="F1213" s="123">
        <f t="shared" si="59"/>
        <v>2</v>
      </c>
      <c r="G1213" s="121" t="s">
        <v>4774</v>
      </c>
      <c r="H1213" s="124"/>
      <c r="I1213" s="122" t="s">
        <v>4775</v>
      </c>
      <c r="J1213" s="122" t="s">
        <v>4775</v>
      </c>
      <c r="K1213" s="125"/>
      <c r="L1213" s="125"/>
    </row>
    <row r="1214">
      <c r="A1214" s="119"/>
      <c r="B1214" s="119" t="s">
        <v>4751</v>
      </c>
      <c r="C1214" s="121" t="s">
        <v>4776</v>
      </c>
      <c r="D1214" s="121" t="s">
        <v>4760</v>
      </c>
      <c r="E1214" s="122" t="s">
        <v>4777</v>
      </c>
      <c r="F1214" s="123">
        <f t="shared" si="59"/>
        <v>2</v>
      </c>
      <c r="G1214" s="121" t="s">
        <v>4778</v>
      </c>
      <c r="H1214" s="124"/>
      <c r="I1214" s="122" t="s">
        <v>4779</v>
      </c>
      <c r="J1214" s="122" t="s">
        <v>4779</v>
      </c>
      <c r="K1214" s="125"/>
      <c r="L1214" s="125"/>
    </row>
    <row r="1215">
      <c r="A1215" s="119"/>
      <c r="B1215" s="119" t="s">
        <v>4751</v>
      </c>
      <c r="C1215" s="121" t="s">
        <v>4780</v>
      </c>
      <c r="D1215" s="121" t="s">
        <v>4760</v>
      </c>
      <c r="E1215" s="122" t="s">
        <v>4781</v>
      </c>
      <c r="F1215" s="123">
        <f t="shared" si="59"/>
        <v>2</v>
      </c>
      <c r="G1215" s="121" t="s">
        <v>4782</v>
      </c>
      <c r="H1215" s="124"/>
      <c r="I1215" s="122" t="s">
        <v>4783</v>
      </c>
      <c r="J1215" s="122" t="s">
        <v>4783</v>
      </c>
      <c r="K1215" s="125"/>
      <c r="L1215" s="125"/>
    </row>
    <row r="1216">
      <c r="A1216" s="119"/>
      <c r="B1216" s="119" t="s">
        <v>4751</v>
      </c>
      <c r="C1216" s="121" t="s">
        <v>4784</v>
      </c>
      <c r="D1216" s="121" t="s">
        <v>4760</v>
      </c>
      <c r="E1216" s="122" t="s">
        <v>4785</v>
      </c>
      <c r="F1216" s="123">
        <f t="shared" si="59"/>
        <v>2</v>
      </c>
      <c r="G1216" s="121" t="s">
        <v>4786</v>
      </c>
      <c r="H1216" s="124"/>
      <c r="I1216" s="122" t="s">
        <v>4787</v>
      </c>
      <c r="J1216" s="122" t="s">
        <v>4787</v>
      </c>
      <c r="K1216" s="125"/>
      <c r="L1216" s="125"/>
    </row>
    <row r="1217">
      <c r="A1217" s="119"/>
      <c r="B1217" s="119" t="s">
        <v>4751</v>
      </c>
      <c r="C1217" s="121" t="s">
        <v>4788</v>
      </c>
      <c r="D1217" s="121" t="s">
        <v>4760</v>
      </c>
      <c r="E1217" s="122" t="s">
        <v>4789</v>
      </c>
      <c r="F1217" s="123">
        <f t="shared" si="59"/>
        <v>2</v>
      </c>
      <c r="G1217" s="121" t="s">
        <v>4790</v>
      </c>
      <c r="H1217" s="124"/>
      <c r="I1217" s="122" t="s">
        <v>4791</v>
      </c>
      <c r="J1217" s="122" t="s">
        <v>4791</v>
      </c>
      <c r="K1217" s="125"/>
      <c r="L1217" s="125"/>
    </row>
    <row r="1218">
      <c r="A1218" s="119"/>
      <c r="B1218" s="119" t="s">
        <v>4751</v>
      </c>
      <c r="C1218" s="121" t="s">
        <v>4792</v>
      </c>
      <c r="D1218" s="121" t="s">
        <v>4793</v>
      </c>
      <c r="E1218" s="122" t="s">
        <v>4794</v>
      </c>
      <c r="F1218" s="123">
        <f t="shared" si="59"/>
        <v>2</v>
      </c>
      <c r="G1218" s="121" t="s">
        <v>4795</v>
      </c>
      <c r="H1218" s="124"/>
      <c r="I1218" s="122" t="s">
        <v>4796</v>
      </c>
      <c r="J1218" s="122" t="s">
        <v>4796</v>
      </c>
      <c r="K1218" s="125"/>
      <c r="L1218" s="125"/>
    </row>
    <row r="1219">
      <c r="A1219" s="119"/>
      <c r="B1219" s="119" t="s">
        <v>4751</v>
      </c>
      <c r="C1219" s="121" t="s">
        <v>4797</v>
      </c>
      <c r="D1219" s="121" t="s">
        <v>4793</v>
      </c>
      <c r="E1219" s="122" t="s">
        <v>4798</v>
      </c>
      <c r="F1219" s="123">
        <f t="shared" si="59"/>
        <v>2</v>
      </c>
      <c r="G1219" s="121" t="s">
        <v>4799</v>
      </c>
      <c r="H1219" s="124"/>
      <c r="I1219" s="122" t="s">
        <v>4800</v>
      </c>
      <c r="J1219" s="122" t="s">
        <v>4800</v>
      </c>
      <c r="K1219" s="125"/>
      <c r="L1219" s="125"/>
    </row>
    <row r="1220">
      <c r="A1220" s="33"/>
      <c r="B1220" s="33"/>
      <c r="C1220" s="118"/>
      <c r="D1220" s="118"/>
      <c r="F1220" s="14"/>
      <c r="G1220" s="12" t="s">
        <v>851</v>
      </c>
      <c r="H1220" s="118"/>
    </row>
    <row r="1221">
      <c r="A1221" s="119" t="s">
        <v>4205</v>
      </c>
      <c r="B1221" s="119" t="s">
        <v>4751</v>
      </c>
      <c r="C1221" s="121" t="s">
        <v>4801</v>
      </c>
      <c r="D1221" s="121" t="s">
        <v>40</v>
      </c>
      <c r="E1221" s="122" t="s">
        <v>4802</v>
      </c>
      <c r="F1221" s="123">
        <f t="shared" ref="F1221:F1235" si="60">counta(I1221:J1221)</f>
        <v>2</v>
      </c>
      <c r="G1221" s="121" t="s">
        <v>4803</v>
      </c>
      <c r="H1221" s="124"/>
      <c r="I1221" s="122" t="s">
        <v>4804</v>
      </c>
      <c r="J1221" s="122" t="s">
        <v>4804</v>
      </c>
      <c r="K1221" s="125"/>
      <c r="L1221" s="125"/>
    </row>
    <row r="1222">
      <c r="A1222" s="119"/>
      <c r="B1222" s="119" t="s">
        <v>4751</v>
      </c>
      <c r="C1222" s="121" t="s">
        <v>4805</v>
      </c>
      <c r="D1222" s="121" t="s">
        <v>40</v>
      </c>
      <c r="E1222" s="122" t="s">
        <v>4806</v>
      </c>
      <c r="F1222" s="123">
        <f t="shared" si="60"/>
        <v>2</v>
      </c>
      <c r="G1222" s="121" t="s">
        <v>4807</v>
      </c>
      <c r="H1222" s="124"/>
      <c r="I1222" s="122" t="s">
        <v>4808</v>
      </c>
      <c r="J1222" s="122" t="s">
        <v>4808</v>
      </c>
      <c r="K1222" s="125"/>
      <c r="L1222" s="125"/>
    </row>
    <row r="1223">
      <c r="A1223" s="119"/>
      <c r="B1223" s="119" t="s">
        <v>4751</v>
      </c>
      <c r="C1223" s="121" t="s">
        <v>4809</v>
      </c>
      <c r="D1223" s="121" t="s">
        <v>40</v>
      </c>
      <c r="E1223" s="122" t="s">
        <v>4810</v>
      </c>
      <c r="F1223" s="123">
        <f t="shared" si="60"/>
        <v>2</v>
      </c>
      <c r="G1223" s="121" t="s">
        <v>4811</v>
      </c>
      <c r="H1223" s="124"/>
      <c r="I1223" s="122" t="s">
        <v>4812</v>
      </c>
      <c r="J1223" s="122" t="s">
        <v>4812</v>
      </c>
      <c r="K1223" s="125"/>
      <c r="L1223" s="125"/>
    </row>
    <row r="1224">
      <c r="A1224" s="119"/>
      <c r="B1224" s="119" t="s">
        <v>4751</v>
      </c>
      <c r="C1224" s="121" t="s">
        <v>4813</v>
      </c>
      <c r="D1224" s="121" t="s">
        <v>4814</v>
      </c>
      <c r="E1224" s="122" t="s">
        <v>4815</v>
      </c>
      <c r="F1224" s="123">
        <f t="shared" si="60"/>
        <v>2</v>
      </c>
      <c r="G1224" s="121" t="s">
        <v>4816</v>
      </c>
      <c r="H1224" s="124"/>
      <c r="I1224" s="122" t="s">
        <v>4817</v>
      </c>
      <c r="J1224" s="122" t="s">
        <v>4817</v>
      </c>
      <c r="K1224" s="125"/>
      <c r="L1224" s="125"/>
    </row>
    <row r="1225">
      <c r="A1225" s="119"/>
      <c r="B1225" s="119" t="s">
        <v>4751</v>
      </c>
      <c r="C1225" s="121" t="s">
        <v>4818</v>
      </c>
      <c r="D1225" s="121" t="s">
        <v>4814</v>
      </c>
      <c r="E1225" s="122" t="s">
        <v>4819</v>
      </c>
      <c r="F1225" s="123">
        <f t="shared" si="60"/>
        <v>2</v>
      </c>
      <c r="G1225" s="121" t="s">
        <v>4820</v>
      </c>
      <c r="H1225" s="124"/>
      <c r="I1225" s="122" t="s">
        <v>4821</v>
      </c>
      <c r="J1225" s="122" t="s">
        <v>4821</v>
      </c>
      <c r="K1225" s="125"/>
      <c r="L1225" s="125"/>
    </row>
    <row r="1226">
      <c r="A1226" s="119"/>
      <c r="B1226" s="119" t="s">
        <v>4751</v>
      </c>
      <c r="C1226" s="121" t="s">
        <v>4822</v>
      </c>
      <c r="D1226" s="121" t="s">
        <v>4814</v>
      </c>
      <c r="E1226" s="122" t="s">
        <v>4823</v>
      </c>
      <c r="F1226" s="123">
        <f t="shared" si="60"/>
        <v>2</v>
      </c>
      <c r="G1226" s="121" t="s">
        <v>4824</v>
      </c>
      <c r="H1226" s="124"/>
      <c r="I1226" s="122" t="s">
        <v>4825</v>
      </c>
      <c r="J1226" s="122" t="s">
        <v>4825</v>
      </c>
      <c r="K1226" s="125"/>
      <c r="L1226" s="125"/>
    </row>
    <row r="1227">
      <c r="A1227" s="119"/>
      <c r="B1227" s="119" t="s">
        <v>4751</v>
      </c>
      <c r="C1227" s="121" t="s">
        <v>4826</v>
      </c>
      <c r="D1227" s="121" t="s">
        <v>40</v>
      </c>
      <c r="E1227" s="122" t="s">
        <v>4827</v>
      </c>
      <c r="F1227" s="123">
        <f t="shared" si="60"/>
        <v>2</v>
      </c>
      <c r="G1227" s="121" t="s">
        <v>4828</v>
      </c>
      <c r="H1227" s="124"/>
      <c r="I1227" s="122" t="s">
        <v>4829</v>
      </c>
      <c r="J1227" s="122" t="s">
        <v>4829</v>
      </c>
      <c r="K1227" s="125"/>
      <c r="L1227" s="125"/>
    </row>
    <row r="1228">
      <c r="A1228" s="119"/>
      <c r="B1228" s="119" t="s">
        <v>4751</v>
      </c>
      <c r="C1228" s="121" t="s">
        <v>4830</v>
      </c>
      <c r="D1228" s="121" t="s">
        <v>4814</v>
      </c>
      <c r="E1228" s="122" t="s">
        <v>4831</v>
      </c>
      <c r="F1228" s="123">
        <f t="shared" si="60"/>
        <v>2</v>
      </c>
      <c r="G1228" s="121" t="s">
        <v>4832</v>
      </c>
      <c r="H1228" s="124"/>
      <c r="I1228" s="122" t="s">
        <v>4833</v>
      </c>
      <c r="J1228" s="122" t="s">
        <v>4833</v>
      </c>
      <c r="K1228" s="125"/>
      <c r="L1228" s="125"/>
    </row>
    <row r="1229">
      <c r="A1229" s="119"/>
      <c r="B1229" s="119" t="s">
        <v>4751</v>
      </c>
      <c r="C1229" s="121" t="s">
        <v>4834</v>
      </c>
      <c r="D1229" s="121" t="s">
        <v>4814</v>
      </c>
      <c r="E1229" s="122" t="s">
        <v>4835</v>
      </c>
      <c r="F1229" s="123">
        <f t="shared" si="60"/>
        <v>2</v>
      </c>
      <c r="G1229" s="121" t="s">
        <v>4836</v>
      </c>
      <c r="H1229" s="124"/>
      <c r="I1229" s="122" t="s">
        <v>4837</v>
      </c>
      <c r="J1229" s="122" t="s">
        <v>4837</v>
      </c>
      <c r="K1229" s="125"/>
      <c r="L1229" s="125"/>
    </row>
    <row r="1230">
      <c r="A1230" s="119"/>
      <c r="B1230" s="119" t="s">
        <v>4751</v>
      </c>
      <c r="C1230" s="121" t="s">
        <v>4838</v>
      </c>
      <c r="D1230" s="121" t="s">
        <v>40</v>
      </c>
      <c r="E1230" s="122" t="s">
        <v>4839</v>
      </c>
      <c r="F1230" s="123">
        <f t="shared" si="60"/>
        <v>2</v>
      </c>
      <c r="G1230" s="121" t="s">
        <v>4840</v>
      </c>
      <c r="H1230" s="124"/>
      <c r="I1230" s="122" t="s">
        <v>4841</v>
      </c>
      <c r="J1230" s="122" t="s">
        <v>4841</v>
      </c>
      <c r="K1230" s="125"/>
      <c r="L1230" s="125"/>
    </row>
    <row r="1231">
      <c r="A1231" s="119"/>
      <c r="B1231" s="119" t="s">
        <v>4751</v>
      </c>
      <c r="C1231" s="121" t="s">
        <v>4842</v>
      </c>
      <c r="D1231" s="121" t="s">
        <v>4814</v>
      </c>
      <c r="E1231" s="122" t="s">
        <v>4843</v>
      </c>
      <c r="F1231" s="123">
        <f t="shared" si="60"/>
        <v>2</v>
      </c>
      <c r="G1231" s="121" t="s">
        <v>4844</v>
      </c>
      <c r="H1231" s="124"/>
      <c r="I1231" s="122" t="s">
        <v>4845</v>
      </c>
      <c r="J1231" s="122" t="s">
        <v>4845</v>
      </c>
      <c r="K1231" s="125"/>
      <c r="L1231" s="125"/>
    </row>
    <row r="1232">
      <c r="A1232" s="119"/>
      <c r="B1232" s="119" t="s">
        <v>4751</v>
      </c>
      <c r="C1232" s="121" t="s">
        <v>4846</v>
      </c>
      <c r="D1232" s="121" t="s">
        <v>4814</v>
      </c>
      <c r="E1232" s="122" t="s">
        <v>4847</v>
      </c>
      <c r="F1232" s="123">
        <f t="shared" si="60"/>
        <v>2</v>
      </c>
      <c r="G1232" s="121" t="s">
        <v>4848</v>
      </c>
      <c r="H1232" s="124"/>
      <c r="I1232" s="122" t="s">
        <v>4849</v>
      </c>
      <c r="J1232" s="122" t="s">
        <v>4849</v>
      </c>
      <c r="K1232" s="125"/>
      <c r="L1232" s="125"/>
    </row>
    <row r="1233">
      <c r="A1233" s="119"/>
      <c r="B1233" s="119" t="s">
        <v>4751</v>
      </c>
      <c r="C1233" s="121" t="s">
        <v>4850</v>
      </c>
      <c r="D1233" s="121" t="s">
        <v>4850</v>
      </c>
      <c r="E1233" s="122" t="s">
        <v>4851</v>
      </c>
      <c r="F1233" s="123">
        <f t="shared" si="60"/>
        <v>2</v>
      </c>
      <c r="G1233" s="121" t="s">
        <v>4852</v>
      </c>
      <c r="H1233" s="124"/>
      <c r="I1233" s="122" t="s">
        <v>4853</v>
      </c>
      <c r="J1233" s="122" t="s">
        <v>4853</v>
      </c>
      <c r="K1233" s="125"/>
      <c r="L1233" s="125"/>
    </row>
    <row r="1234">
      <c r="A1234" s="119"/>
      <c r="B1234" s="119" t="s">
        <v>4751</v>
      </c>
      <c r="C1234" s="121" t="s">
        <v>4854</v>
      </c>
      <c r="D1234" s="121" t="s">
        <v>4855</v>
      </c>
      <c r="E1234" s="122" t="s">
        <v>4856</v>
      </c>
      <c r="F1234" s="123">
        <f t="shared" si="60"/>
        <v>2</v>
      </c>
      <c r="G1234" s="121" t="s">
        <v>4857</v>
      </c>
      <c r="H1234" s="124"/>
      <c r="I1234" s="122" t="s">
        <v>4858</v>
      </c>
      <c r="J1234" s="122" t="s">
        <v>4858</v>
      </c>
      <c r="K1234" s="125"/>
      <c r="L1234" s="125"/>
    </row>
    <row r="1235">
      <c r="A1235" s="119"/>
      <c r="B1235" s="119" t="s">
        <v>4751</v>
      </c>
      <c r="C1235" s="121" t="s">
        <v>4859</v>
      </c>
      <c r="D1235" s="121" t="s">
        <v>4855</v>
      </c>
      <c r="E1235" s="122" t="s">
        <v>4860</v>
      </c>
      <c r="F1235" s="123">
        <f t="shared" si="60"/>
        <v>1</v>
      </c>
      <c r="G1235" s="121" t="s">
        <v>4861</v>
      </c>
      <c r="H1235" s="124"/>
      <c r="I1235" s="125"/>
      <c r="J1235" s="122" t="s">
        <v>4862</v>
      </c>
      <c r="K1235" s="125"/>
      <c r="L1235" s="125"/>
    </row>
    <row r="1236">
      <c r="A1236" s="33"/>
      <c r="B1236" s="33"/>
      <c r="C1236" s="118"/>
      <c r="D1236" s="118"/>
      <c r="E1236" s="61"/>
      <c r="F1236" s="14"/>
      <c r="G1236" s="12" t="s">
        <v>851</v>
      </c>
      <c r="H1236" s="118"/>
    </row>
    <row r="1237">
      <c r="A1237" s="119" t="s">
        <v>4205</v>
      </c>
      <c r="B1237" s="119" t="s">
        <v>4751</v>
      </c>
      <c r="C1237" s="121" t="s">
        <v>4863</v>
      </c>
      <c r="D1237" s="121" t="s">
        <v>4864</v>
      </c>
      <c r="E1237" s="122" t="s">
        <v>4863</v>
      </c>
      <c r="F1237" s="123">
        <f t="shared" ref="F1237:F1242" si="61">counta(I1237:J1237)</f>
        <v>2</v>
      </c>
      <c r="G1237" s="121" t="s">
        <v>4863</v>
      </c>
      <c r="H1237" s="124"/>
      <c r="I1237" s="122" t="s">
        <v>4865</v>
      </c>
      <c r="J1237" s="122" t="s">
        <v>4865</v>
      </c>
      <c r="K1237" s="125"/>
      <c r="L1237" s="125"/>
    </row>
    <row r="1238">
      <c r="A1238" s="119"/>
      <c r="B1238" s="119" t="s">
        <v>4751</v>
      </c>
      <c r="C1238" s="121" t="s">
        <v>4866</v>
      </c>
      <c r="D1238" s="119" t="s">
        <v>40</v>
      </c>
      <c r="E1238" s="122" t="s">
        <v>4866</v>
      </c>
      <c r="F1238" s="123">
        <f t="shared" si="61"/>
        <v>2</v>
      </c>
      <c r="G1238" s="121" t="s">
        <v>4866</v>
      </c>
      <c r="H1238" s="124"/>
      <c r="I1238" s="122" t="s">
        <v>4867</v>
      </c>
      <c r="J1238" s="122" t="s">
        <v>4867</v>
      </c>
      <c r="K1238" s="125"/>
      <c r="L1238" s="125"/>
    </row>
    <row r="1239">
      <c r="A1239" s="119"/>
      <c r="B1239" s="119" t="s">
        <v>4751</v>
      </c>
      <c r="C1239" s="121" t="s">
        <v>4868</v>
      </c>
      <c r="D1239" s="119" t="s">
        <v>40</v>
      </c>
      <c r="E1239" s="122" t="s">
        <v>4869</v>
      </c>
      <c r="F1239" s="123">
        <f t="shared" si="61"/>
        <v>2</v>
      </c>
      <c r="G1239" s="121" t="s">
        <v>4868</v>
      </c>
      <c r="H1239" s="124"/>
      <c r="I1239" s="122" t="s">
        <v>4870</v>
      </c>
      <c r="J1239" s="122" t="s">
        <v>4870</v>
      </c>
      <c r="K1239" s="125"/>
      <c r="L1239" s="125"/>
    </row>
    <row r="1240">
      <c r="A1240" s="119"/>
      <c r="B1240" s="119" t="s">
        <v>4751</v>
      </c>
      <c r="C1240" s="121" t="s">
        <v>4871</v>
      </c>
      <c r="D1240" s="119" t="s">
        <v>40</v>
      </c>
      <c r="E1240" s="122" t="s">
        <v>4872</v>
      </c>
      <c r="F1240" s="123">
        <f t="shared" si="61"/>
        <v>2</v>
      </c>
      <c r="G1240" s="121" t="s">
        <v>4873</v>
      </c>
      <c r="H1240" s="124"/>
      <c r="I1240" s="126" t="s">
        <v>4874</v>
      </c>
      <c r="J1240" s="126" t="s">
        <v>4874</v>
      </c>
      <c r="K1240" s="125"/>
      <c r="L1240" s="125"/>
    </row>
    <row r="1241">
      <c r="A1241" s="119"/>
      <c r="B1241" s="119" t="s">
        <v>4751</v>
      </c>
      <c r="C1241" s="121" t="s">
        <v>4875</v>
      </c>
      <c r="D1241" s="119" t="s">
        <v>40</v>
      </c>
      <c r="E1241" s="122" t="s">
        <v>4875</v>
      </c>
      <c r="F1241" s="123">
        <f t="shared" si="61"/>
        <v>2</v>
      </c>
      <c r="G1241" s="121" t="s">
        <v>4875</v>
      </c>
      <c r="H1241" s="124"/>
      <c r="I1241" s="126" t="s">
        <v>4876</v>
      </c>
      <c r="J1241" s="126" t="s">
        <v>4876</v>
      </c>
      <c r="K1241" s="125"/>
      <c r="L1241" s="125"/>
    </row>
    <row r="1242">
      <c r="A1242" s="119"/>
      <c r="B1242" s="119" t="s">
        <v>4751</v>
      </c>
      <c r="C1242" s="121" t="s">
        <v>4877</v>
      </c>
      <c r="D1242" s="119" t="s">
        <v>40</v>
      </c>
      <c r="E1242" s="122" t="s">
        <v>4878</v>
      </c>
      <c r="F1242" s="123">
        <f t="shared" si="61"/>
        <v>2</v>
      </c>
      <c r="G1242" s="121" t="s">
        <v>4879</v>
      </c>
      <c r="H1242" s="124"/>
      <c r="I1242" s="126" t="s">
        <v>4880</v>
      </c>
      <c r="J1242" s="126" t="s">
        <v>4880</v>
      </c>
      <c r="K1242" s="125"/>
      <c r="L1242" s="125"/>
    </row>
    <row r="1243">
      <c r="A1243" s="33"/>
      <c r="B1243" s="33"/>
      <c r="C1243" s="118"/>
      <c r="D1243" s="118"/>
      <c r="F1243" s="14"/>
      <c r="G1243" s="12" t="s">
        <v>851</v>
      </c>
      <c r="H1243" s="118"/>
    </row>
    <row r="1244">
      <c r="A1244" s="119" t="s">
        <v>4205</v>
      </c>
      <c r="B1244" s="119" t="s">
        <v>4751</v>
      </c>
      <c r="C1244" s="121" t="s">
        <v>4881</v>
      </c>
      <c r="D1244" s="121" t="s">
        <v>40</v>
      </c>
      <c r="E1244" s="122" t="s">
        <v>4882</v>
      </c>
      <c r="F1244" s="123">
        <f t="shared" ref="F1244:F1269" si="62">counta(I1244:J1244)</f>
        <v>2</v>
      </c>
      <c r="G1244" s="121" t="s">
        <v>4883</v>
      </c>
      <c r="H1244" s="124"/>
      <c r="I1244" s="122" t="s">
        <v>4884</v>
      </c>
      <c r="J1244" s="122" t="s">
        <v>4884</v>
      </c>
      <c r="K1244" s="125"/>
      <c r="L1244" s="125"/>
    </row>
    <row r="1245">
      <c r="A1245" s="119"/>
      <c r="B1245" s="119" t="s">
        <v>4751</v>
      </c>
      <c r="C1245" s="121" t="s">
        <v>4885</v>
      </c>
      <c r="D1245" s="121" t="s">
        <v>40</v>
      </c>
      <c r="E1245" s="122" t="s">
        <v>4886</v>
      </c>
      <c r="F1245" s="123">
        <f t="shared" si="62"/>
        <v>2</v>
      </c>
      <c r="G1245" s="121" t="s">
        <v>4887</v>
      </c>
      <c r="H1245" s="124"/>
      <c r="I1245" s="122" t="s">
        <v>4888</v>
      </c>
      <c r="J1245" s="122" t="s">
        <v>4888</v>
      </c>
      <c r="K1245" s="125"/>
      <c r="L1245" s="125"/>
    </row>
    <row r="1246">
      <c r="A1246" s="119"/>
      <c r="B1246" s="119" t="s">
        <v>4751</v>
      </c>
      <c r="C1246" s="121" t="s">
        <v>4889</v>
      </c>
      <c r="D1246" s="121" t="s">
        <v>40</v>
      </c>
      <c r="E1246" s="122" t="s">
        <v>4890</v>
      </c>
      <c r="F1246" s="123">
        <f t="shared" si="62"/>
        <v>2</v>
      </c>
      <c r="G1246" s="121" t="s">
        <v>4891</v>
      </c>
      <c r="H1246" s="124"/>
      <c r="I1246" s="122" t="s">
        <v>4892</v>
      </c>
      <c r="J1246" s="122" t="s">
        <v>4892</v>
      </c>
      <c r="K1246" s="125"/>
      <c r="L1246" s="125"/>
    </row>
    <row r="1247">
      <c r="A1247" s="119"/>
      <c r="B1247" s="119" t="s">
        <v>4751</v>
      </c>
      <c r="C1247" s="121" t="s">
        <v>4893</v>
      </c>
      <c r="D1247" s="121" t="s">
        <v>40</v>
      </c>
      <c r="E1247" s="122" t="s">
        <v>4894</v>
      </c>
      <c r="F1247" s="123">
        <f t="shared" si="62"/>
        <v>2</v>
      </c>
      <c r="G1247" s="121" t="s">
        <v>4895</v>
      </c>
      <c r="H1247" s="124"/>
      <c r="I1247" s="122" t="s">
        <v>4896</v>
      </c>
      <c r="J1247" s="122" t="s">
        <v>4896</v>
      </c>
      <c r="K1247" s="125"/>
      <c r="L1247" s="125"/>
    </row>
    <row r="1248">
      <c r="A1248" s="119"/>
      <c r="B1248" s="119" t="s">
        <v>4751</v>
      </c>
      <c r="C1248" s="121" t="s">
        <v>4897</v>
      </c>
      <c r="D1248" s="121" t="s">
        <v>4898</v>
      </c>
      <c r="E1248" s="122" t="s">
        <v>4899</v>
      </c>
      <c r="F1248" s="123">
        <f t="shared" si="62"/>
        <v>2</v>
      </c>
      <c r="G1248" s="121" t="s">
        <v>4900</v>
      </c>
      <c r="H1248" s="124"/>
      <c r="I1248" s="122" t="s">
        <v>4901</v>
      </c>
      <c r="J1248" s="122" t="s">
        <v>4901</v>
      </c>
      <c r="K1248" s="125"/>
      <c r="L1248" s="125"/>
    </row>
    <row r="1249">
      <c r="A1249" s="119"/>
      <c r="B1249" s="119" t="s">
        <v>4751</v>
      </c>
      <c r="C1249" s="121" t="s">
        <v>4902</v>
      </c>
      <c r="D1249" s="121" t="s">
        <v>4898</v>
      </c>
      <c r="E1249" s="122" t="s">
        <v>4903</v>
      </c>
      <c r="F1249" s="123">
        <f t="shared" si="62"/>
        <v>2</v>
      </c>
      <c r="G1249" s="121" t="s">
        <v>4904</v>
      </c>
      <c r="H1249" s="124"/>
      <c r="I1249" s="122" t="s">
        <v>4905</v>
      </c>
      <c r="J1249" s="122" t="s">
        <v>4905</v>
      </c>
      <c r="K1249" s="125"/>
      <c r="L1249" s="125"/>
    </row>
    <row r="1250">
      <c r="A1250" s="119"/>
      <c r="B1250" s="119" t="s">
        <v>4751</v>
      </c>
      <c r="C1250" s="121" t="s">
        <v>4906</v>
      </c>
      <c r="D1250" s="121" t="s">
        <v>4898</v>
      </c>
      <c r="E1250" s="122" t="s">
        <v>4907</v>
      </c>
      <c r="F1250" s="123">
        <f t="shared" si="62"/>
        <v>2</v>
      </c>
      <c r="G1250" s="121" t="s">
        <v>4908</v>
      </c>
      <c r="H1250" s="124"/>
      <c r="I1250" s="122" t="s">
        <v>4909</v>
      </c>
      <c r="J1250" s="122" t="s">
        <v>4909</v>
      </c>
      <c r="K1250" s="125"/>
      <c r="L1250" s="125"/>
    </row>
    <row r="1251">
      <c r="A1251" s="119"/>
      <c r="B1251" s="119" t="s">
        <v>4751</v>
      </c>
      <c r="C1251" s="121" t="s">
        <v>4910</v>
      </c>
      <c r="D1251" s="121" t="s">
        <v>4898</v>
      </c>
      <c r="E1251" s="122" t="s">
        <v>4911</v>
      </c>
      <c r="F1251" s="123">
        <f t="shared" si="62"/>
        <v>2</v>
      </c>
      <c r="G1251" s="121" t="s">
        <v>4912</v>
      </c>
      <c r="H1251" s="124"/>
      <c r="I1251" s="122" t="s">
        <v>4913</v>
      </c>
      <c r="J1251" s="122" t="s">
        <v>4913</v>
      </c>
      <c r="K1251" s="125"/>
      <c r="L1251" s="125"/>
    </row>
    <row r="1252">
      <c r="A1252" s="119"/>
      <c r="B1252" s="119" t="s">
        <v>4751</v>
      </c>
      <c r="C1252" s="121" t="s">
        <v>4914</v>
      </c>
      <c r="D1252" s="121" t="s">
        <v>4898</v>
      </c>
      <c r="E1252" s="122" t="s">
        <v>4915</v>
      </c>
      <c r="F1252" s="123">
        <f t="shared" si="62"/>
        <v>2</v>
      </c>
      <c r="G1252" s="121" t="s">
        <v>4916</v>
      </c>
      <c r="H1252" s="124"/>
      <c r="I1252" s="122" t="s">
        <v>4917</v>
      </c>
      <c r="J1252" s="122" t="s">
        <v>4917</v>
      </c>
      <c r="K1252" s="125"/>
      <c r="L1252" s="125"/>
    </row>
    <row r="1253">
      <c r="A1253" s="119"/>
      <c r="B1253" s="119" t="s">
        <v>4751</v>
      </c>
      <c r="C1253" s="121" t="s">
        <v>4918</v>
      </c>
      <c r="D1253" s="121" t="s">
        <v>4898</v>
      </c>
      <c r="E1253" s="122" t="s">
        <v>4919</v>
      </c>
      <c r="F1253" s="123">
        <f t="shared" si="62"/>
        <v>2</v>
      </c>
      <c r="G1253" s="121" t="s">
        <v>4920</v>
      </c>
      <c r="H1253" s="124"/>
      <c r="I1253" s="122" t="s">
        <v>4921</v>
      </c>
      <c r="J1253" s="122" t="s">
        <v>4921</v>
      </c>
      <c r="K1253" s="125"/>
      <c r="L1253" s="125"/>
    </row>
    <row r="1254">
      <c r="A1254" s="119"/>
      <c r="B1254" s="119" t="s">
        <v>4751</v>
      </c>
      <c r="C1254" s="121" t="s">
        <v>4922</v>
      </c>
      <c r="D1254" s="121" t="s">
        <v>4898</v>
      </c>
      <c r="E1254" s="122" t="s">
        <v>4923</v>
      </c>
      <c r="F1254" s="123">
        <f t="shared" si="62"/>
        <v>2</v>
      </c>
      <c r="G1254" s="121" t="s">
        <v>4924</v>
      </c>
      <c r="H1254" s="124"/>
      <c r="I1254" s="122" t="s">
        <v>4925</v>
      </c>
      <c r="J1254" s="122" t="s">
        <v>4925</v>
      </c>
      <c r="K1254" s="125"/>
      <c r="L1254" s="125"/>
    </row>
    <row r="1255">
      <c r="A1255" s="119"/>
      <c r="B1255" s="119" t="s">
        <v>4751</v>
      </c>
      <c r="C1255" s="121" t="s">
        <v>4926</v>
      </c>
      <c r="D1255" s="121" t="s">
        <v>40</v>
      </c>
      <c r="E1255" s="122" t="s">
        <v>4927</v>
      </c>
      <c r="F1255" s="123">
        <f t="shared" si="62"/>
        <v>2</v>
      </c>
      <c r="G1255" s="121" t="s">
        <v>4928</v>
      </c>
      <c r="H1255" s="124"/>
      <c r="I1255" s="122" t="s">
        <v>4929</v>
      </c>
      <c r="J1255" s="122" t="s">
        <v>4929</v>
      </c>
      <c r="K1255" s="125"/>
      <c r="L1255" s="125"/>
    </row>
    <row r="1256">
      <c r="A1256" s="119"/>
      <c r="B1256" s="119" t="s">
        <v>4751</v>
      </c>
      <c r="C1256" s="121" t="s">
        <v>4930</v>
      </c>
      <c r="D1256" s="121" t="s">
        <v>4930</v>
      </c>
      <c r="E1256" s="122" t="s">
        <v>4931</v>
      </c>
      <c r="F1256" s="123">
        <f t="shared" si="62"/>
        <v>2</v>
      </c>
      <c r="G1256" s="121" t="s">
        <v>4932</v>
      </c>
      <c r="H1256" s="124"/>
      <c r="I1256" s="122" t="s">
        <v>4933</v>
      </c>
      <c r="J1256" s="122" t="s">
        <v>4933</v>
      </c>
      <c r="K1256" s="125"/>
      <c r="L1256" s="125"/>
    </row>
    <row r="1257">
      <c r="A1257" s="119"/>
      <c r="B1257" s="119" t="s">
        <v>4751</v>
      </c>
      <c r="C1257" s="121" t="s">
        <v>4934</v>
      </c>
      <c r="D1257" s="121" t="s">
        <v>4934</v>
      </c>
      <c r="E1257" s="122" t="s">
        <v>4935</v>
      </c>
      <c r="F1257" s="123">
        <f t="shared" si="62"/>
        <v>2</v>
      </c>
      <c r="G1257" s="121" t="s">
        <v>4936</v>
      </c>
      <c r="H1257" s="124"/>
      <c r="I1257" s="122" t="s">
        <v>4937</v>
      </c>
      <c r="J1257" s="122" t="s">
        <v>4937</v>
      </c>
      <c r="K1257" s="125"/>
      <c r="L1257" s="125"/>
    </row>
    <row r="1258">
      <c r="A1258" s="119"/>
      <c r="B1258" s="119" t="s">
        <v>4751</v>
      </c>
      <c r="C1258" s="121" t="s">
        <v>4938</v>
      </c>
      <c r="D1258" s="121" t="s">
        <v>4939</v>
      </c>
      <c r="E1258" s="122" t="s">
        <v>4940</v>
      </c>
      <c r="F1258" s="123">
        <f t="shared" si="62"/>
        <v>2</v>
      </c>
      <c r="G1258" s="121" t="s">
        <v>4941</v>
      </c>
      <c r="H1258" s="124"/>
      <c r="I1258" s="122" t="s">
        <v>4942</v>
      </c>
      <c r="J1258" s="122" t="s">
        <v>4942</v>
      </c>
      <c r="K1258" s="125"/>
      <c r="L1258" s="125"/>
    </row>
    <row r="1259">
      <c r="A1259" s="119"/>
      <c r="B1259" s="119" t="s">
        <v>4751</v>
      </c>
      <c r="C1259" s="121" t="s">
        <v>4943</v>
      </c>
      <c r="D1259" s="121" t="s">
        <v>4939</v>
      </c>
      <c r="E1259" s="122" t="s">
        <v>4944</v>
      </c>
      <c r="F1259" s="123">
        <f t="shared" si="62"/>
        <v>2</v>
      </c>
      <c r="G1259" s="121" t="s">
        <v>4945</v>
      </c>
      <c r="H1259" s="124"/>
      <c r="I1259" s="122" t="s">
        <v>4946</v>
      </c>
      <c r="J1259" s="122" t="s">
        <v>4946</v>
      </c>
      <c r="K1259" s="125"/>
      <c r="L1259" s="125"/>
    </row>
    <row r="1260">
      <c r="A1260" s="119"/>
      <c r="B1260" s="119" t="s">
        <v>4751</v>
      </c>
      <c r="C1260" s="121" t="s">
        <v>4947</v>
      </c>
      <c r="D1260" s="121" t="s">
        <v>4948</v>
      </c>
      <c r="E1260" s="122" t="s">
        <v>4949</v>
      </c>
      <c r="F1260" s="123">
        <f t="shared" si="62"/>
        <v>2</v>
      </c>
      <c r="G1260" s="121" t="s">
        <v>4950</v>
      </c>
      <c r="H1260" s="124"/>
      <c r="I1260" s="122" t="s">
        <v>4951</v>
      </c>
      <c r="J1260" s="122" t="s">
        <v>4951</v>
      </c>
      <c r="K1260" s="125"/>
      <c r="L1260" s="125"/>
    </row>
    <row r="1261">
      <c r="A1261" s="119"/>
      <c r="B1261" s="119" t="s">
        <v>4751</v>
      </c>
      <c r="C1261" s="121" t="s">
        <v>4952</v>
      </c>
      <c r="D1261" s="121" t="s">
        <v>4948</v>
      </c>
      <c r="E1261" s="122" t="s">
        <v>4953</v>
      </c>
      <c r="F1261" s="123">
        <f t="shared" si="62"/>
        <v>2</v>
      </c>
      <c r="G1261" s="121" t="s">
        <v>4954</v>
      </c>
      <c r="H1261" s="124"/>
      <c r="I1261" s="122" t="s">
        <v>4955</v>
      </c>
      <c r="J1261" s="122" t="s">
        <v>4955</v>
      </c>
      <c r="K1261" s="125"/>
      <c r="L1261" s="125"/>
    </row>
    <row r="1262">
      <c r="A1262" s="119"/>
      <c r="B1262" s="119" t="s">
        <v>4751</v>
      </c>
      <c r="C1262" s="121" t="s">
        <v>4956</v>
      </c>
      <c r="D1262" s="121" t="s">
        <v>4948</v>
      </c>
      <c r="E1262" s="122" t="s">
        <v>4957</v>
      </c>
      <c r="F1262" s="123">
        <f t="shared" si="62"/>
        <v>2</v>
      </c>
      <c r="G1262" s="121" t="s">
        <v>4958</v>
      </c>
      <c r="H1262" s="124"/>
      <c r="I1262" s="122" t="s">
        <v>4959</v>
      </c>
      <c r="J1262" s="122" t="s">
        <v>4959</v>
      </c>
      <c r="K1262" s="125"/>
      <c r="L1262" s="125"/>
    </row>
    <row r="1263">
      <c r="A1263" s="119"/>
      <c r="B1263" s="119" t="s">
        <v>4751</v>
      </c>
      <c r="C1263" s="121" t="s">
        <v>4960</v>
      </c>
      <c r="D1263" s="121" t="s">
        <v>4948</v>
      </c>
      <c r="E1263" s="122" t="s">
        <v>4961</v>
      </c>
      <c r="F1263" s="123">
        <f t="shared" si="62"/>
        <v>2</v>
      </c>
      <c r="G1263" s="121" t="s">
        <v>4962</v>
      </c>
      <c r="H1263" s="124"/>
      <c r="I1263" s="122" t="s">
        <v>4963</v>
      </c>
      <c r="J1263" s="122" t="s">
        <v>4963</v>
      </c>
      <c r="K1263" s="125"/>
      <c r="L1263" s="125"/>
    </row>
    <row r="1264">
      <c r="A1264" s="119"/>
      <c r="B1264" s="119" t="s">
        <v>4751</v>
      </c>
      <c r="C1264" s="121" t="s">
        <v>4964</v>
      </c>
      <c r="D1264" s="121" t="s">
        <v>4948</v>
      </c>
      <c r="E1264" s="122" t="s">
        <v>4965</v>
      </c>
      <c r="F1264" s="123">
        <f t="shared" si="62"/>
        <v>2</v>
      </c>
      <c r="G1264" s="121" t="s">
        <v>4966</v>
      </c>
      <c r="H1264" s="124"/>
      <c r="I1264" s="122" t="s">
        <v>4967</v>
      </c>
      <c r="J1264" s="122" t="s">
        <v>4967</v>
      </c>
      <c r="K1264" s="125"/>
      <c r="L1264" s="125"/>
    </row>
    <row r="1265">
      <c r="A1265" s="119"/>
      <c r="B1265" s="119" t="s">
        <v>4751</v>
      </c>
      <c r="C1265" s="121" t="s">
        <v>4968</v>
      </c>
      <c r="D1265" s="121" t="s">
        <v>4948</v>
      </c>
      <c r="E1265" s="122" t="s">
        <v>4969</v>
      </c>
      <c r="F1265" s="123">
        <f t="shared" si="62"/>
        <v>2</v>
      </c>
      <c r="G1265" s="121" t="s">
        <v>4970</v>
      </c>
      <c r="H1265" s="124"/>
      <c r="I1265" s="122" t="s">
        <v>4971</v>
      </c>
      <c r="J1265" s="122" t="s">
        <v>4971</v>
      </c>
      <c r="K1265" s="125"/>
      <c r="L1265" s="125"/>
    </row>
    <row r="1266">
      <c r="A1266" s="119"/>
      <c r="B1266" s="119" t="s">
        <v>4751</v>
      </c>
      <c r="C1266" s="121" t="s">
        <v>4972</v>
      </c>
      <c r="D1266" s="121" t="s">
        <v>4973</v>
      </c>
      <c r="E1266" s="122" t="s">
        <v>4974</v>
      </c>
      <c r="F1266" s="123">
        <f t="shared" si="62"/>
        <v>2</v>
      </c>
      <c r="G1266" s="121" t="s">
        <v>4975</v>
      </c>
      <c r="H1266" s="124"/>
      <c r="I1266" s="122" t="s">
        <v>4976</v>
      </c>
      <c r="J1266" s="122" t="s">
        <v>4976</v>
      </c>
      <c r="K1266" s="125"/>
      <c r="L1266" s="125"/>
    </row>
    <row r="1267">
      <c r="A1267" s="119"/>
      <c r="B1267" s="119" t="s">
        <v>4751</v>
      </c>
      <c r="C1267" s="121" t="s">
        <v>4977</v>
      </c>
      <c r="D1267" s="121" t="s">
        <v>4973</v>
      </c>
      <c r="E1267" s="122" t="s">
        <v>4978</v>
      </c>
      <c r="F1267" s="123">
        <f t="shared" si="62"/>
        <v>2</v>
      </c>
      <c r="G1267" s="121" t="s">
        <v>4979</v>
      </c>
      <c r="H1267" s="124"/>
      <c r="I1267" s="122" t="s">
        <v>4980</v>
      </c>
      <c r="J1267" s="122" t="s">
        <v>4980</v>
      </c>
      <c r="K1267" s="125"/>
      <c r="L1267" s="125"/>
    </row>
    <row r="1268">
      <c r="A1268" s="119"/>
      <c r="B1268" s="119" t="s">
        <v>4751</v>
      </c>
      <c r="C1268" s="121" t="s">
        <v>4981</v>
      </c>
      <c r="D1268" s="121" t="s">
        <v>4982</v>
      </c>
      <c r="E1268" s="122" t="s">
        <v>4983</v>
      </c>
      <c r="F1268" s="123">
        <f t="shared" si="62"/>
        <v>2</v>
      </c>
      <c r="G1268" s="121" t="s">
        <v>4984</v>
      </c>
      <c r="H1268" s="124"/>
      <c r="I1268" s="122" t="s">
        <v>4985</v>
      </c>
      <c r="J1268" s="122" t="s">
        <v>4985</v>
      </c>
      <c r="K1268" s="125"/>
      <c r="L1268" s="125"/>
    </row>
    <row r="1269">
      <c r="A1269" s="119"/>
      <c r="B1269" s="119" t="s">
        <v>4751</v>
      </c>
      <c r="C1269" s="121" t="s">
        <v>4986</v>
      </c>
      <c r="D1269" s="121" t="s">
        <v>4982</v>
      </c>
      <c r="E1269" s="122" t="s">
        <v>4987</v>
      </c>
      <c r="F1269" s="123">
        <f t="shared" si="62"/>
        <v>2</v>
      </c>
      <c r="G1269" s="121" t="s">
        <v>4988</v>
      </c>
      <c r="H1269" s="124"/>
      <c r="I1269" s="122" t="s">
        <v>4989</v>
      </c>
      <c r="J1269" s="122" t="s">
        <v>4989</v>
      </c>
      <c r="K1269" s="125"/>
      <c r="L1269" s="125"/>
    </row>
    <row r="1270">
      <c r="A1270" s="33"/>
      <c r="B1270" s="33"/>
      <c r="C1270" s="118"/>
      <c r="D1270" s="118"/>
      <c r="F1270" s="14"/>
      <c r="G1270" s="12" t="s">
        <v>851</v>
      </c>
      <c r="H1270" s="118"/>
    </row>
    <row r="1271">
      <c r="A1271" s="119" t="s">
        <v>4205</v>
      </c>
      <c r="B1271" s="119" t="s">
        <v>4751</v>
      </c>
      <c r="C1271" s="121" t="s">
        <v>4990</v>
      </c>
      <c r="D1271" s="121" t="s">
        <v>4990</v>
      </c>
      <c r="E1271" s="122" t="s">
        <v>4991</v>
      </c>
      <c r="F1271" s="123">
        <f t="shared" ref="F1271:F1276" si="63">counta(I1271:J1271)</f>
        <v>2</v>
      </c>
      <c r="G1271" s="121" t="s">
        <v>4992</v>
      </c>
      <c r="H1271" s="124"/>
      <c r="I1271" s="122" t="s">
        <v>4993</v>
      </c>
      <c r="J1271" s="122" t="s">
        <v>4993</v>
      </c>
      <c r="K1271" s="125"/>
      <c r="L1271" s="125"/>
    </row>
    <row r="1272">
      <c r="A1272" s="119"/>
      <c r="B1272" s="119" t="s">
        <v>4751</v>
      </c>
      <c r="C1272" s="121" t="s">
        <v>4994</v>
      </c>
      <c r="D1272" s="121" t="s">
        <v>4994</v>
      </c>
      <c r="E1272" s="122" t="s">
        <v>4995</v>
      </c>
      <c r="F1272" s="123">
        <f t="shared" si="63"/>
        <v>2</v>
      </c>
      <c r="G1272" s="121" t="s">
        <v>4996</v>
      </c>
      <c r="H1272" s="124"/>
      <c r="I1272" s="122" t="s">
        <v>4997</v>
      </c>
      <c r="J1272" s="122" t="s">
        <v>4997</v>
      </c>
      <c r="K1272" s="125"/>
      <c r="L1272" s="125"/>
    </row>
    <row r="1273">
      <c r="A1273" s="119"/>
      <c r="B1273" s="119" t="s">
        <v>4751</v>
      </c>
      <c r="C1273" s="121" t="s">
        <v>4998</v>
      </c>
      <c r="D1273" s="121" t="s">
        <v>4998</v>
      </c>
      <c r="E1273" s="122" t="s">
        <v>4999</v>
      </c>
      <c r="F1273" s="123">
        <f t="shared" si="63"/>
        <v>2</v>
      </c>
      <c r="G1273" s="121" t="s">
        <v>5000</v>
      </c>
      <c r="H1273" s="124"/>
      <c r="I1273" s="122" t="s">
        <v>5001</v>
      </c>
      <c r="J1273" s="122" t="s">
        <v>5001</v>
      </c>
      <c r="K1273" s="125"/>
      <c r="L1273" s="125"/>
    </row>
    <row r="1274">
      <c r="A1274" s="119"/>
      <c r="B1274" s="119" t="s">
        <v>4751</v>
      </c>
      <c r="C1274" s="121" t="s">
        <v>5002</v>
      </c>
      <c r="D1274" s="121" t="s">
        <v>5002</v>
      </c>
      <c r="E1274" s="122" t="s">
        <v>5003</v>
      </c>
      <c r="F1274" s="123">
        <f t="shared" si="63"/>
        <v>2</v>
      </c>
      <c r="G1274" s="121" t="s">
        <v>5004</v>
      </c>
      <c r="H1274" s="124"/>
      <c r="I1274" s="122" t="s">
        <v>5005</v>
      </c>
      <c r="J1274" s="122" t="s">
        <v>5005</v>
      </c>
      <c r="K1274" s="125"/>
      <c r="L1274" s="125"/>
    </row>
    <row r="1275">
      <c r="A1275" s="119"/>
      <c r="B1275" s="119" t="s">
        <v>4751</v>
      </c>
      <c r="C1275" s="121" t="s">
        <v>5006</v>
      </c>
      <c r="D1275" s="121" t="s">
        <v>5007</v>
      </c>
      <c r="E1275" s="122" t="s">
        <v>5008</v>
      </c>
      <c r="F1275" s="123">
        <f t="shared" si="63"/>
        <v>2</v>
      </c>
      <c r="G1275" s="121" t="s">
        <v>5009</v>
      </c>
      <c r="H1275" s="124"/>
      <c r="I1275" s="122" t="s">
        <v>5010</v>
      </c>
      <c r="J1275" s="122" t="s">
        <v>5010</v>
      </c>
      <c r="K1275" s="125"/>
      <c r="L1275" s="125"/>
    </row>
    <row r="1276">
      <c r="A1276" s="119"/>
      <c r="B1276" s="119" t="s">
        <v>4751</v>
      </c>
      <c r="C1276" s="121" t="s">
        <v>5011</v>
      </c>
      <c r="D1276" s="121" t="s">
        <v>5007</v>
      </c>
      <c r="E1276" s="122" t="s">
        <v>5012</v>
      </c>
      <c r="F1276" s="123">
        <f t="shared" si="63"/>
        <v>2</v>
      </c>
      <c r="G1276" s="121" t="s">
        <v>5013</v>
      </c>
      <c r="H1276" s="124"/>
      <c r="I1276" s="122" t="s">
        <v>5014</v>
      </c>
      <c r="J1276" s="122" t="s">
        <v>5014</v>
      </c>
      <c r="K1276" s="125"/>
      <c r="L1276" s="125"/>
    </row>
    <row r="1277">
      <c r="A1277" s="33"/>
      <c r="B1277" s="33"/>
      <c r="C1277" s="118"/>
      <c r="D1277" s="118"/>
      <c r="F1277" s="14"/>
      <c r="G1277" s="12" t="s">
        <v>851</v>
      </c>
      <c r="H1277" s="118"/>
    </row>
    <row r="1278">
      <c r="A1278" s="119" t="s">
        <v>4205</v>
      </c>
      <c r="B1278" s="119" t="s">
        <v>4751</v>
      </c>
      <c r="C1278" s="121" t="s">
        <v>5015</v>
      </c>
      <c r="D1278" s="121" t="s">
        <v>40</v>
      </c>
      <c r="E1278" s="122" t="s">
        <v>5016</v>
      </c>
      <c r="F1278" s="123">
        <f t="shared" ref="F1278:F1299" si="64">counta(I1278:J1278)</f>
        <v>2</v>
      </c>
      <c r="G1278" s="121" t="s">
        <v>5017</v>
      </c>
      <c r="H1278" s="124"/>
      <c r="I1278" s="122" t="s">
        <v>5018</v>
      </c>
      <c r="J1278" s="122" t="s">
        <v>5018</v>
      </c>
      <c r="K1278" s="125"/>
      <c r="L1278" s="125"/>
    </row>
    <row r="1279">
      <c r="A1279" s="119"/>
      <c r="B1279" s="119" t="s">
        <v>4751</v>
      </c>
      <c r="C1279" s="121" t="s">
        <v>5019</v>
      </c>
      <c r="D1279" s="121" t="s">
        <v>40</v>
      </c>
      <c r="E1279" s="122" t="s">
        <v>5020</v>
      </c>
      <c r="F1279" s="123">
        <f t="shared" si="64"/>
        <v>2</v>
      </c>
      <c r="G1279" s="121" t="s">
        <v>5021</v>
      </c>
      <c r="H1279" s="124"/>
      <c r="I1279" s="122" t="s">
        <v>5022</v>
      </c>
      <c r="J1279" s="122" t="s">
        <v>5022</v>
      </c>
      <c r="K1279" s="125"/>
      <c r="L1279" s="125"/>
    </row>
    <row r="1280">
      <c r="A1280" s="119"/>
      <c r="B1280" s="119" t="s">
        <v>4751</v>
      </c>
      <c r="C1280" s="121" t="s">
        <v>5023</v>
      </c>
      <c r="D1280" s="121" t="s">
        <v>40</v>
      </c>
      <c r="E1280" s="122" t="s">
        <v>5024</v>
      </c>
      <c r="F1280" s="123">
        <f t="shared" si="64"/>
        <v>2</v>
      </c>
      <c r="G1280" s="121" t="s">
        <v>5023</v>
      </c>
      <c r="H1280" s="124"/>
      <c r="I1280" s="122" t="s">
        <v>5025</v>
      </c>
      <c r="J1280" s="122" t="s">
        <v>5025</v>
      </c>
      <c r="K1280" s="125"/>
      <c r="L1280" s="125"/>
    </row>
    <row r="1281">
      <c r="A1281" s="119"/>
      <c r="B1281" s="119" t="s">
        <v>4751</v>
      </c>
      <c r="C1281" s="121" t="s">
        <v>5026</v>
      </c>
      <c r="D1281" s="121" t="s">
        <v>40</v>
      </c>
      <c r="E1281" s="122" t="s">
        <v>5027</v>
      </c>
      <c r="F1281" s="123">
        <f t="shared" si="64"/>
        <v>2</v>
      </c>
      <c r="G1281" s="121" t="s">
        <v>5028</v>
      </c>
      <c r="H1281" s="124"/>
      <c r="I1281" s="126" t="s">
        <v>5029</v>
      </c>
      <c r="J1281" s="122" t="s">
        <v>5029</v>
      </c>
      <c r="K1281" s="125"/>
      <c r="L1281" s="125"/>
    </row>
    <row r="1282">
      <c r="A1282" s="119"/>
      <c r="B1282" s="119" t="s">
        <v>4751</v>
      </c>
      <c r="C1282" s="121" t="s">
        <v>5030</v>
      </c>
      <c r="D1282" s="121" t="s">
        <v>16</v>
      </c>
      <c r="E1282" s="127" t="s">
        <v>5031</v>
      </c>
      <c r="F1282" s="123">
        <f t="shared" si="64"/>
        <v>2</v>
      </c>
      <c r="G1282" s="121" t="s">
        <v>5032</v>
      </c>
      <c r="H1282" s="124"/>
      <c r="I1282" s="126" t="s">
        <v>5033</v>
      </c>
      <c r="J1282" s="122" t="s">
        <v>5033</v>
      </c>
      <c r="K1282" s="125"/>
      <c r="L1282" s="125"/>
    </row>
    <row r="1283">
      <c r="A1283" s="119"/>
      <c r="B1283" s="119" t="s">
        <v>4751</v>
      </c>
      <c r="C1283" s="121" t="s">
        <v>5034</v>
      </c>
      <c r="D1283" s="121" t="s">
        <v>40</v>
      </c>
      <c r="E1283" s="122" t="s">
        <v>5035</v>
      </c>
      <c r="F1283" s="123">
        <f t="shared" si="64"/>
        <v>2</v>
      </c>
      <c r="G1283" s="121" t="s">
        <v>5036</v>
      </c>
      <c r="H1283" s="124"/>
      <c r="I1283" s="122" t="s">
        <v>5037</v>
      </c>
      <c r="J1283" s="122" t="s">
        <v>5037</v>
      </c>
      <c r="K1283" s="125"/>
      <c r="L1283" s="125"/>
    </row>
    <row r="1284">
      <c r="A1284" s="119"/>
      <c r="B1284" s="119" t="s">
        <v>4751</v>
      </c>
      <c r="C1284" s="121" t="s">
        <v>5038</v>
      </c>
      <c r="D1284" s="121" t="s">
        <v>40</v>
      </c>
      <c r="E1284" s="122" t="s">
        <v>5039</v>
      </c>
      <c r="F1284" s="123">
        <f t="shared" si="64"/>
        <v>2</v>
      </c>
      <c r="G1284" s="121" t="s">
        <v>5040</v>
      </c>
      <c r="H1284" s="124"/>
      <c r="I1284" s="122" t="s">
        <v>5041</v>
      </c>
      <c r="J1284" s="122" t="s">
        <v>5041</v>
      </c>
      <c r="K1284" s="125"/>
      <c r="L1284" s="125"/>
    </row>
    <row r="1285">
      <c r="A1285" s="119"/>
      <c r="B1285" s="119" t="s">
        <v>4751</v>
      </c>
      <c r="C1285" s="121" t="s">
        <v>5042</v>
      </c>
      <c r="D1285" s="121" t="s">
        <v>40</v>
      </c>
      <c r="E1285" s="122" t="s">
        <v>5043</v>
      </c>
      <c r="F1285" s="123">
        <f t="shared" si="64"/>
        <v>2</v>
      </c>
      <c r="G1285" s="121" t="s">
        <v>5044</v>
      </c>
      <c r="H1285" s="124"/>
      <c r="I1285" s="122" t="s">
        <v>5045</v>
      </c>
      <c r="J1285" s="122" t="s">
        <v>5045</v>
      </c>
      <c r="K1285" s="125"/>
      <c r="L1285" s="125"/>
    </row>
    <row r="1286">
      <c r="A1286" s="119"/>
      <c r="B1286" s="119" t="s">
        <v>4751</v>
      </c>
      <c r="C1286" s="121" t="s">
        <v>5046</v>
      </c>
      <c r="D1286" s="121" t="s">
        <v>40</v>
      </c>
      <c r="E1286" s="122" t="s">
        <v>5047</v>
      </c>
      <c r="F1286" s="123">
        <f t="shared" si="64"/>
        <v>2</v>
      </c>
      <c r="G1286" s="121" t="s">
        <v>5048</v>
      </c>
      <c r="H1286" s="124"/>
      <c r="I1286" s="122" t="s">
        <v>5049</v>
      </c>
      <c r="J1286" s="122" t="s">
        <v>5049</v>
      </c>
      <c r="K1286" s="125"/>
      <c r="L1286" s="125"/>
    </row>
    <row r="1287">
      <c r="A1287" s="119"/>
      <c r="B1287" s="119" t="s">
        <v>4751</v>
      </c>
      <c r="C1287" s="121" t="s">
        <v>5050</v>
      </c>
      <c r="D1287" s="121" t="s">
        <v>40</v>
      </c>
      <c r="E1287" s="122" t="s">
        <v>5051</v>
      </c>
      <c r="F1287" s="123">
        <f t="shared" si="64"/>
        <v>1</v>
      </c>
      <c r="G1287" s="121" t="s">
        <v>5052</v>
      </c>
      <c r="H1287" s="124"/>
      <c r="I1287" s="122" t="s">
        <v>5053</v>
      </c>
      <c r="J1287" s="125"/>
      <c r="K1287" s="125"/>
      <c r="L1287" s="125"/>
    </row>
    <row r="1288">
      <c r="A1288" s="119"/>
      <c r="B1288" s="119" t="s">
        <v>4751</v>
      </c>
      <c r="C1288" s="121" t="s">
        <v>5054</v>
      </c>
      <c r="D1288" s="121" t="s">
        <v>40</v>
      </c>
      <c r="E1288" s="122" t="s">
        <v>5055</v>
      </c>
      <c r="F1288" s="123">
        <f t="shared" si="64"/>
        <v>1</v>
      </c>
      <c r="G1288" s="121" t="s">
        <v>5054</v>
      </c>
      <c r="H1288" s="124"/>
      <c r="I1288" s="122"/>
      <c r="J1288" s="122" t="s">
        <v>5056</v>
      </c>
      <c r="K1288" s="125"/>
      <c r="L1288" s="125"/>
    </row>
    <row r="1289">
      <c r="A1289" s="119"/>
      <c r="B1289" s="119" t="s">
        <v>4751</v>
      </c>
      <c r="C1289" s="121" t="s">
        <v>5057</v>
      </c>
      <c r="D1289" s="121" t="s">
        <v>40</v>
      </c>
      <c r="E1289" s="122" t="s">
        <v>5058</v>
      </c>
      <c r="F1289" s="123">
        <f t="shared" si="64"/>
        <v>1</v>
      </c>
      <c r="G1289" s="121" t="s">
        <v>5057</v>
      </c>
      <c r="H1289" s="124"/>
      <c r="I1289" s="122"/>
      <c r="J1289" s="122" t="s">
        <v>5059</v>
      </c>
      <c r="K1289" s="125"/>
      <c r="L1289" s="125"/>
    </row>
    <row r="1290">
      <c r="A1290" s="119"/>
      <c r="B1290" s="119" t="s">
        <v>4751</v>
      </c>
      <c r="C1290" s="121" t="s">
        <v>5060</v>
      </c>
      <c r="D1290" s="121" t="s">
        <v>40</v>
      </c>
      <c r="E1290" s="122" t="s">
        <v>5061</v>
      </c>
      <c r="F1290" s="123">
        <f t="shared" si="64"/>
        <v>1</v>
      </c>
      <c r="G1290" s="121" t="s">
        <v>5062</v>
      </c>
      <c r="H1290" s="124"/>
      <c r="I1290" s="122" t="s">
        <v>5063</v>
      </c>
      <c r="J1290" s="125"/>
      <c r="K1290" s="125"/>
      <c r="L1290" s="125"/>
    </row>
    <row r="1291">
      <c r="A1291" s="119"/>
      <c r="B1291" s="119" t="s">
        <v>4751</v>
      </c>
      <c r="C1291" s="121" t="s">
        <v>5064</v>
      </c>
      <c r="D1291" s="121" t="s">
        <v>40</v>
      </c>
      <c r="E1291" s="122" t="s">
        <v>5065</v>
      </c>
      <c r="F1291" s="123">
        <f t="shared" si="64"/>
        <v>2</v>
      </c>
      <c r="G1291" s="121" t="s">
        <v>5066</v>
      </c>
      <c r="H1291" s="124"/>
      <c r="I1291" s="122" t="s">
        <v>5067</v>
      </c>
      <c r="J1291" s="122" t="s">
        <v>5068</v>
      </c>
      <c r="K1291" s="125"/>
      <c r="L1291" s="125"/>
    </row>
    <row r="1292">
      <c r="A1292" s="119"/>
      <c r="B1292" s="119" t="s">
        <v>4751</v>
      </c>
      <c r="C1292" s="121" t="s">
        <v>5069</v>
      </c>
      <c r="D1292" s="121" t="s">
        <v>40</v>
      </c>
      <c r="E1292" s="122" t="s">
        <v>5070</v>
      </c>
      <c r="F1292" s="123">
        <f t="shared" si="64"/>
        <v>1</v>
      </c>
      <c r="G1292" s="121" t="s">
        <v>5071</v>
      </c>
      <c r="H1292" s="124"/>
      <c r="I1292" s="122" t="s">
        <v>5072</v>
      </c>
      <c r="J1292" s="125"/>
      <c r="K1292" s="125"/>
      <c r="L1292" s="125"/>
    </row>
    <row r="1293">
      <c r="A1293" s="119"/>
      <c r="B1293" s="119" t="s">
        <v>4751</v>
      </c>
      <c r="C1293" s="121" t="s">
        <v>5073</v>
      </c>
      <c r="D1293" s="121" t="s">
        <v>40</v>
      </c>
      <c r="E1293" s="122" t="s">
        <v>5074</v>
      </c>
      <c r="F1293" s="123">
        <f t="shared" si="64"/>
        <v>1</v>
      </c>
      <c r="G1293" s="121" t="s">
        <v>5075</v>
      </c>
      <c r="H1293" s="124"/>
      <c r="I1293" s="122" t="s">
        <v>5076</v>
      </c>
      <c r="J1293" s="125"/>
      <c r="K1293" s="125"/>
      <c r="L1293" s="125"/>
    </row>
    <row r="1294">
      <c r="A1294" s="119"/>
      <c r="B1294" s="119" t="s">
        <v>4751</v>
      </c>
      <c r="C1294" s="121" t="s">
        <v>5077</v>
      </c>
      <c r="D1294" s="121" t="s">
        <v>40</v>
      </c>
      <c r="E1294" s="122" t="s">
        <v>5078</v>
      </c>
      <c r="F1294" s="123">
        <f t="shared" si="64"/>
        <v>2</v>
      </c>
      <c r="G1294" s="121" t="s">
        <v>5079</v>
      </c>
      <c r="H1294" s="124"/>
      <c r="I1294" s="122" t="s">
        <v>5080</v>
      </c>
      <c r="J1294" s="122" t="s">
        <v>5081</v>
      </c>
      <c r="K1294" s="125"/>
      <c r="L1294" s="125"/>
    </row>
    <row r="1295">
      <c r="A1295" s="119"/>
      <c r="B1295" s="119" t="s">
        <v>4751</v>
      </c>
      <c r="C1295" s="121" t="s">
        <v>5082</v>
      </c>
      <c r="D1295" s="121" t="s">
        <v>16</v>
      </c>
      <c r="E1295" s="122" t="s">
        <v>5083</v>
      </c>
      <c r="F1295" s="123">
        <f t="shared" si="64"/>
        <v>2</v>
      </c>
      <c r="G1295" s="121" t="s">
        <v>5084</v>
      </c>
      <c r="H1295" s="124"/>
      <c r="I1295" s="122" t="s">
        <v>5085</v>
      </c>
      <c r="J1295" s="122" t="s">
        <v>5086</v>
      </c>
      <c r="K1295" s="125"/>
      <c r="L1295" s="125"/>
    </row>
    <row r="1296">
      <c r="A1296" s="119"/>
      <c r="B1296" s="119" t="s">
        <v>4751</v>
      </c>
      <c r="C1296" s="121" t="s">
        <v>5087</v>
      </c>
      <c r="D1296" s="121" t="s">
        <v>40</v>
      </c>
      <c r="E1296" s="122" t="s">
        <v>5088</v>
      </c>
      <c r="F1296" s="123">
        <f t="shared" si="64"/>
        <v>2</v>
      </c>
      <c r="G1296" s="121" t="s">
        <v>5089</v>
      </c>
      <c r="H1296" s="124"/>
      <c r="I1296" s="122" t="s">
        <v>5090</v>
      </c>
      <c r="J1296" s="122" t="s">
        <v>5091</v>
      </c>
      <c r="K1296" s="125"/>
      <c r="L1296" s="125"/>
    </row>
    <row r="1297">
      <c r="A1297" s="119"/>
      <c r="B1297" s="119" t="s">
        <v>4751</v>
      </c>
      <c r="C1297" s="121" t="s">
        <v>5092</v>
      </c>
      <c r="D1297" s="121" t="s">
        <v>5092</v>
      </c>
      <c r="E1297" s="122" t="s">
        <v>5093</v>
      </c>
      <c r="F1297" s="123">
        <f t="shared" si="64"/>
        <v>2</v>
      </c>
      <c r="G1297" s="121" t="s">
        <v>5094</v>
      </c>
      <c r="H1297" s="124"/>
      <c r="I1297" s="122" t="s">
        <v>5095</v>
      </c>
      <c r="J1297" s="122" t="s">
        <v>5096</v>
      </c>
      <c r="K1297" s="125"/>
      <c r="L1297" s="125"/>
    </row>
    <row r="1298">
      <c r="A1298" s="119"/>
      <c r="B1298" s="119" t="s">
        <v>4751</v>
      </c>
      <c r="C1298" s="121" t="s">
        <v>5097</v>
      </c>
      <c r="D1298" s="121" t="s">
        <v>40</v>
      </c>
      <c r="E1298" s="122" t="s">
        <v>5098</v>
      </c>
      <c r="F1298" s="123">
        <f t="shared" si="64"/>
        <v>2</v>
      </c>
      <c r="G1298" s="121" t="s">
        <v>5099</v>
      </c>
      <c r="H1298" s="124"/>
      <c r="I1298" s="122" t="s">
        <v>5100</v>
      </c>
      <c r="J1298" s="122" t="s">
        <v>5100</v>
      </c>
      <c r="K1298" s="125"/>
      <c r="L1298" s="125"/>
    </row>
    <row r="1299">
      <c r="A1299" s="119"/>
      <c r="B1299" s="119" t="s">
        <v>4751</v>
      </c>
      <c r="C1299" s="121" t="s">
        <v>5101</v>
      </c>
      <c r="D1299" s="121" t="s">
        <v>16</v>
      </c>
      <c r="E1299" s="122" t="s">
        <v>5102</v>
      </c>
      <c r="F1299" s="123">
        <f t="shared" si="64"/>
        <v>2</v>
      </c>
      <c r="G1299" s="121" t="s">
        <v>5103</v>
      </c>
      <c r="H1299" s="124"/>
      <c r="I1299" s="122" t="s">
        <v>5104</v>
      </c>
      <c r="J1299" s="122" t="s">
        <v>5104</v>
      </c>
      <c r="K1299" s="125"/>
      <c r="L1299" s="125"/>
    </row>
    <row r="1300">
      <c r="A1300" s="33"/>
      <c r="B1300" s="33"/>
      <c r="C1300" s="12"/>
      <c r="D1300" s="12"/>
      <c r="E1300" s="61"/>
      <c r="F1300" s="14"/>
      <c r="G1300" s="12"/>
      <c r="H1300" s="118"/>
      <c r="I1300" s="61"/>
      <c r="J1300" s="61"/>
    </row>
    <row r="1301">
      <c r="A1301" s="119" t="s">
        <v>4205</v>
      </c>
      <c r="B1301" s="119" t="s">
        <v>4751</v>
      </c>
      <c r="C1301" s="121" t="s">
        <v>5105</v>
      </c>
      <c r="D1301" s="121" t="s">
        <v>4509</v>
      </c>
      <c r="E1301" s="122" t="s">
        <v>5106</v>
      </c>
      <c r="F1301" s="123">
        <f t="shared" ref="F1301:F1306" si="65">counta(I1301:J1301)</f>
        <v>2</v>
      </c>
      <c r="G1301" s="121" t="s">
        <v>5107</v>
      </c>
      <c r="H1301" s="124"/>
      <c r="I1301" s="122" t="s">
        <v>5108</v>
      </c>
      <c r="J1301" s="122" t="s">
        <v>5108</v>
      </c>
      <c r="K1301" s="125"/>
      <c r="L1301" s="125"/>
    </row>
    <row r="1302">
      <c r="A1302" s="119"/>
      <c r="B1302" s="119" t="s">
        <v>4751</v>
      </c>
      <c r="C1302" s="121" t="s">
        <v>5109</v>
      </c>
      <c r="D1302" s="121" t="s">
        <v>16</v>
      </c>
      <c r="E1302" s="122" t="s">
        <v>5110</v>
      </c>
      <c r="F1302" s="123">
        <f t="shared" si="65"/>
        <v>2</v>
      </c>
      <c r="G1302" s="121" t="s">
        <v>5111</v>
      </c>
      <c r="H1302" s="124"/>
      <c r="I1302" s="126" t="s">
        <v>5112</v>
      </c>
      <c r="J1302" s="122" t="s">
        <v>5112</v>
      </c>
      <c r="K1302" s="125"/>
      <c r="L1302" s="125"/>
    </row>
    <row r="1303">
      <c r="A1303" s="119"/>
      <c r="B1303" s="119" t="s">
        <v>4751</v>
      </c>
      <c r="C1303" s="121" t="s">
        <v>5113</v>
      </c>
      <c r="D1303" s="121" t="s">
        <v>5113</v>
      </c>
      <c r="E1303" s="122" t="s">
        <v>5114</v>
      </c>
      <c r="F1303" s="123">
        <f t="shared" si="65"/>
        <v>2</v>
      </c>
      <c r="G1303" s="121" t="s">
        <v>5115</v>
      </c>
      <c r="H1303" s="124"/>
      <c r="I1303" s="122" t="s">
        <v>5116</v>
      </c>
      <c r="J1303" s="122" t="s">
        <v>5116</v>
      </c>
      <c r="K1303" s="125"/>
      <c r="L1303" s="125"/>
    </row>
    <row r="1304">
      <c r="A1304" s="119"/>
      <c r="B1304" s="119" t="s">
        <v>4751</v>
      </c>
      <c r="C1304" s="121" t="s">
        <v>5117</v>
      </c>
      <c r="D1304" s="121" t="s">
        <v>5117</v>
      </c>
      <c r="E1304" s="122" t="s">
        <v>5118</v>
      </c>
      <c r="F1304" s="123">
        <f t="shared" si="65"/>
        <v>2</v>
      </c>
      <c r="G1304" s="121" t="s">
        <v>5119</v>
      </c>
      <c r="H1304" s="124"/>
      <c r="I1304" s="122" t="s">
        <v>5120</v>
      </c>
      <c r="J1304" s="122" t="s">
        <v>5120</v>
      </c>
      <c r="K1304" s="125"/>
      <c r="L1304" s="125"/>
    </row>
    <row r="1305">
      <c r="A1305" s="119"/>
      <c r="B1305" s="119" t="s">
        <v>4751</v>
      </c>
      <c r="C1305" s="121" t="s">
        <v>5121</v>
      </c>
      <c r="D1305" s="121" t="s">
        <v>16</v>
      </c>
      <c r="E1305" s="122" t="s">
        <v>5122</v>
      </c>
      <c r="F1305" s="123">
        <f t="shared" si="65"/>
        <v>2</v>
      </c>
      <c r="G1305" s="121" t="s">
        <v>5123</v>
      </c>
      <c r="H1305" s="124"/>
      <c r="I1305" s="122" t="s">
        <v>5124</v>
      </c>
      <c r="J1305" s="122" t="s">
        <v>5124</v>
      </c>
      <c r="K1305" s="125"/>
      <c r="L1305" s="125"/>
    </row>
    <row r="1306">
      <c r="A1306" s="119"/>
      <c r="B1306" s="119" t="s">
        <v>4751</v>
      </c>
      <c r="C1306" s="121" t="s">
        <v>5125</v>
      </c>
      <c r="D1306" s="121" t="s">
        <v>26</v>
      </c>
      <c r="E1306" s="122" t="s">
        <v>5126</v>
      </c>
      <c r="F1306" s="123">
        <f t="shared" si="65"/>
        <v>2</v>
      </c>
      <c r="G1306" s="121" t="s">
        <v>5127</v>
      </c>
      <c r="H1306" s="124"/>
      <c r="I1306" s="122" t="s">
        <v>5128</v>
      </c>
      <c r="J1306" s="122" t="s">
        <v>5128</v>
      </c>
      <c r="K1306" s="125"/>
      <c r="L1306" s="125"/>
    </row>
    <row r="1307">
      <c r="A1307" s="33"/>
      <c r="B1307" s="117"/>
      <c r="C1307" s="118"/>
      <c r="D1307" s="12"/>
      <c r="F1307" s="14"/>
      <c r="G1307" s="12" t="s">
        <v>851</v>
      </c>
      <c r="H1307" s="118"/>
    </row>
    <row r="1308">
      <c r="A1308" s="119" t="s">
        <v>4205</v>
      </c>
      <c r="B1308" s="119" t="s">
        <v>5129</v>
      </c>
      <c r="C1308" s="121" t="s">
        <v>5130</v>
      </c>
      <c r="D1308" s="121" t="s">
        <v>5130</v>
      </c>
      <c r="E1308" s="122" t="s">
        <v>5131</v>
      </c>
      <c r="F1308" s="123">
        <f>counta(I1308:J1308)</f>
        <v>2</v>
      </c>
      <c r="G1308" s="121" t="s">
        <v>5132</v>
      </c>
      <c r="H1308" s="124"/>
      <c r="I1308" s="122" t="s">
        <v>5133</v>
      </c>
      <c r="J1308" s="122" t="s">
        <v>5133</v>
      </c>
      <c r="K1308" s="125"/>
      <c r="L1308" s="125"/>
    </row>
    <row r="1309">
      <c r="A1309" s="33"/>
      <c r="B1309" s="33"/>
      <c r="C1309" s="118"/>
      <c r="D1309" s="118"/>
      <c r="F1309" s="14"/>
      <c r="G1309" s="12" t="s">
        <v>851</v>
      </c>
      <c r="H1309" s="118"/>
    </row>
    <row r="1310">
      <c r="A1310" s="119" t="s">
        <v>4205</v>
      </c>
      <c r="B1310" s="119" t="s">
        <v>5134</v>
      </c>
      <c r="C1310" s="121" t="s">
        <v>5135</v>
      </c>
      <c r="D1310" s="121" t="s">
        <v>40</v>
      </c>
      <c r="E1310" s="122" t="s">
        <v>5136</v>
      </c>
      <c r="F1310" s="123">
        <f t="shared" ref="F1310:F1329" si="66">counta(I1310:J1310)</f>
        <v>2</v>
      </c>
      <c r="G1310" s="121" t="s">
        <v>5137</v>
      </c>
      <c r="H1310" s="124"/>
      <c r="I1310" s="122" t="s">
        <v>5138</v>
      </c>
      <c r="J1310" s="122" t="s">
        <v>5138</v>
      </c>
      <c r="K1310" s="125"/>
      <c r="L1310" s="125"/>
    </row>
    <row r="1311">
      <c r="A1311" s="119"/>
      <c r="B1311" s="119" t="s">
        <v>5134</v>
      </c>
      <c r="C1311" s="121" t="s">
        <v>5139</v>
      </c>
      <c r="D1311" s="121" t="s">
        <v>5140</v>
      </c>
      <c r="E1311" s="122" t="s">
        <v>5141</v>
      </c>
      <c r="F1311" s="123">
        <f t="shared" si="66"/>
        <v>2</v>
      </c>
      <c r="G1311" s="121" t="s">
        <v>5142</v>
      </c>
      <c r="H1311" s="124"/>
      <c r="I1311" s="122" t="s">
        <v>5143</v>
      </c>
      <c r="J1311" s="122" t="s">
        <v>5143</v>
      </c>
      <c r="K1311" s="125"/>
      <c r="L1311" s="125"/>
    </row>
    <row r="1312">
      <c r="A1312" s="119"/>
      <c r="B1312" s="119" t="s">
        <v>5134</v>
      </c>
      <c r="C1312" s="121" t="s">
        <v>5144</v>
      </c>
      <c r="D1312" s="121" t="s">
        <v>16</v>
      </c>
      <c r="E1312" s="122" t="s">
        <v>5145</v>
      </c>
      <c r="F1312" s="123">
        <f t="shared" si="66"/>
        <v>2</v>
      </c>
      <c r="G1312" s="121" t="s">
        <v>5146</v>
      </c>
      <c r="H1312" s="124"/>
      <c r="I1312" s="122" t="s">
        <v>5147</v>
      </c>
      <c r="J1312" s="122" t="s">
        <v>5147</v>
      </c>
      <c r="K1312" s="125"/>
      <c r="L1312" s="125"/>
    </row>
    <row r="1313">
      <c r="A1313" s="119"/>
      <c r="B1313" s="119" t="s">
        <v>5134</v>
      </c>
      <c r="C1313" s="121" t="s">
        <v>5148</v>
      </c>
      <c r="D1313" s="121" t="s">
        <v>40</v>
      </c>
      <c r="E1313" s="122" t="s">
        <v>5149</v>
      </c>
      <c r="F1313" s="123">
        <f t="shared" si="66"/>
        <v>2</v>
      </c>
      <c r="G1313" s="121" t="s">
        <v>5150</v>
      </c>
      <c r="H1313" s="124"/>
      <c r="I1313" s="122" t="s">
        <v>5151</v>
      </c>
      <c r="J1313" s="122" t="s">
        <v>5151</v>
      </c>
      <c r="K1313" s="125"/>
      <c r="L1313" s="125"/>
    </row>
    <row r="1314">
      <c r="A1314" s="119"/>
      <c r="B1314" s="119" t="s">
        <v>5134</v>
      </c>
      <c r="C1314" s="121" t="s">
        <v>5152</v>
      </c>
      <c r="D1314" s="121" t="s">
        <v>5140</v>
      </c>
      <c r="E1314" s="122" t="s">
        <v>5153</v>
      </c>
      <c r="F1314" s="123">
        <f t="shared" si="66"/>
        <v>2</v>
      </c>
      <c r="G1314" s="121" t="s">
        <v>5154</v>
      </c>
      <c r="H1314" s="124"/>
      <c r="I1314" s="122" t="s">
        <v>5155</v>
      </c>
      <c r="J1314" s="122" t="s">
        <v>5155</v>
      </c>
      <c r="K1314" s="125"/>
      <c r="L1314" s="125"/>
    </row>
    <row r="1315">
      <c r="A1315" s="119"/>
      <c r="B1315" s="119" t="s">
        <v>5134</v>
      </c>
      <c r="C1315" s="128" t="s">
        <v>5156</v>
      </c>
      <c r="D1315" s="121" t="s">
        <v>16</v>
      </c>
      <c r="E1315" s="122" t="s">
        <v>5157</v>
      </c>
      <c r="F1315" s="123">
        <f t="shared" si="66"/>
        <v>2</v>
      </c>
      <c r="G1315" s="121" t="s">
        <v>5158</v>
      </c>
      <c r="H1315" s="124"/>
      <c r="I1315" s="122" t="s">
        <v>5159</v>
      </c>
      <c r="J1315" s="122" t="s">
        <v>5159</v>
      </c>
      <c r="K1315" s="125"/>
      <c r="L1315" s="125"/>
    </row>
    <row r="1316">
      <c r="A1316" s="119"/>
      <c r="B1316" s="119" t="s">
        <v>5134</v>
      </c>
      <c r="C1316" s="121" t="s">
        <v>5160</v>
      </c>
      <c r="D1316" s="121" t="s">
        <v>40</v>
      </c>
      <c r="E1316" s="122" t="s">
        <v>5161</v>
      </c>
      <c r="F1316" s="123">
        <f t="shared" si="66"/>
        <v>2</v>
      </c>
      <c r="G1316" s="121" t="s">
        <v>5162</v>
      </c>
      <c r="H1316" s="124"/>
      <c r="I1316" s="122" t="s">
        <v>5163</v>
      </c>
      <c r="J1316" s="122" t="s">
        <v>5163</v>
      </c>
      <c r="K1316" s="125"/>
      <c r="L1316" s="125"/>
    </row>
    <row r="1317">
      <c r="A1317" s="119"/>
      <c r="B1317" s="119" t="s">
        <v>5134</v>
      </c>
      <c r="C1317" s="121" t="s">
        <v>5164</v>
      </c>
      <c r="D1317" s="121" t="s">
        <v>5140</v>
      </c>
      <c r="E1317" s="122" t="s">
        <v>5165</v>
      </c>
      <c r="F1317" s="123">
        <f t="shared" si="66"/>
        <v>2</v>
      </c>
      <c r="G1317" s="121" t="s">
        <v>5166</v>
      </c>
      <c r="H1317" s="124"/>
      <c r="I1317" s="122" t="s">
        <v>5167</v>
      </c>
      <c r="J1317" s="122" t="s">
        <v>5167</v>
      </c>
      <c r="K1317" s="125"/>
      <c r="L1317" s="125"/>
    </row>
    <row r="1318">
      <c r="A1318" s="119"/>
      <c r="B1318" s="119" t="s">
        <v>5134</v>
      </c>
      <c r="C1318" s="121" t="s">
        <v>5168</v>
      </c>
      <c r="D1318" s="121" t="s">
        <v>16</v>
      </c>
      <c r="E1318" s="122" t="s">
        <v>5169</v>
      </c>
      <c r="F1318" s="123">
        <f t="shared" si="66"/>
        <v>2</v>
      </c>
      <c r="G1318" s="121" t="s">
        <v>5170</v>
      </c>
      <c r="H1318" s="124"/>
      <c r="I1318" s="122" t="s">
        <v>5171</v>
      </c>
      <c r="J1318" s="122" t="s">
        <v>5171</v>
      </c>
      <c r="K1318" s="125"/>
      <c r="L1318" s="125"/>
    </row>
    <row r="1319">
      <c r="A1319" s="119"/>
      <c r="B1319" s="119" t="s">
        <v>5134</v>
      </c>
      <c r="C1319" s="121" t="s">
        <v>5172</v>
      </c>
      <c r="D1319" s="121" t="s">
        <v>40</v>
      </c>
      <c r="E1319" s="122" t="s">
        <v>5173</v>
      </c>
      <c r="F1319" s="123">
        <f t="shared" si="66"/>
        <v>2</v>
      </c>
      <c r="G1319" s="121" t="s">
        <v>5174</v>
      </c>
      <c r="H1319" s="124"/>
      <c r="I1319" s="122" t="s">
        <v>5175</v>
      </c>
      <c r="J1319" s="122" t="s">
        <v>5175</v>
      </c>
      <c r="K1319" s="125"/>
      <c r="L1319" s="125"/>
    </row>
    <row r="1320">
      <c r="A1320" s="119"/>
      <c r="B1320" s="119" t="s">
        <v>5134</v>
      </c>
      <c r="C1320" s="121" t="s">
        <v>5176</v>
      </c>
      <c r="D1320" s="121" t="s">
        <v>5140</v>
      </c>
      <c r="E1320" s="122" t="s">
        <v>5177</v>
      </c>
      <c r="F1320" s="123">
        <f t="shared" si="66"/>
        <v>2</v>
      </c>
      <c r="G1320" s="121" t="s">
        <v>5178</v>
      </c>
      <c r="H1320" s="124"/>
      <c r="I1320" s="122" t="s">
        <v>5179</v>
      </c>
      <c r="J1320" s="122" t="s">
        <v>5179</v>
      </c>
      <c r="K1320" s="125"/>
      <c r="L1320" s="125"/>
    </row>
    <row r="1321">
      <c r="A1321" s="119"/>
      <c r="B1321" s="119" t="s">
        <v>5134</v>
      </c>
      <c r="C1321" s="121" t="s">
        <v>5180</v>
      </c>
      <c r="D1321" s="121" t="s">
        <v>16</v>
      </c>
      <c r="E1321" s="122" t="s">
        <v>5181</v>
      </c>
      <c r="F1321" s="123">
        <f t="shared" si="66"/>
        <v>2</v>
      </c>
      <c r="G1321" s="121" t="s">
        <v>5182</v>
      </c>
      <c r="H1321" s="124"/>
      <c r="I1321" s="122" t="s">
        <v>5183</v>
      </c>
      <c r="J1321" s="122" t="s">
        <v>5183</v>
      </c>
      <c r="K1321" s="125"/>
      <c r="L1321" s="125"/>
    </row>
    <row r="1322">
      <c r="A1322" s="119"/>
      <c r="B1322" s="119" t="s">
        <v>5134</v>
      </c>
      <c r="C1322" s="121" t="s">
        <v>5184</v>
      </c>
      <c r="D1322" s="121" t="s">
        <v>40</v>
      </c>
      <c r="E1322" s="122" t="s">
        <v>5185</v>
      </c>
      <c r="F1322" s="123">
        <f t="shared" si="66"/>
        <v>2</v>
      </c>
      <c r="G1322" s="121" t="s">
        <v>5186</v>
      </c>
      <c r="H1322" s="124"/>
      <c r="I1322" s="122" t="s">
        <v>5187</v>
      </c>
      <c r="J1322" s="122" t="s">
        <v>5187</v>
      </c>
      <c r="K1322" s="125"/>
      <c r="L1322" s="125"/>
    </row>
    <row r="1323">
      <c r="A1323" s="119"/>
      <c r="B1323" s="119" t="s">
        <v>5134</v>
      </c>
      <c r="C1323" s="121" t="s">
        <v>5188</v>
      </c>
      <c r="D1323" s="121" t="s">
        <v>5140</v>
      </c>
      <c r="E1323" s="122" t="s">
        <v>5189</v>
      </c>
      <c r="F1323" s="123">
        <f t="shared" si="66"/>
        <v>2</v>
      </c>
      <c r="G1323" s="121" t="s">
        <v>5190</v>
      </c>
      <c r="H1323" s="124"/>
      <c r="I1323" s="122" t="s">
        <v>5191</v>
      </c>
      <c r="J1323" s="122" t="s">
        <v>5191</v>
      </c>
      <c r="K1323" s="125"/>
      <c r="L1323" s="125"/>
    </row>
    <row r="1324">
      <c r="A1324" s="119"/>
      <c r="B1324" s="119" t="s">
        <v>5134</v>
      </c>
      <c r="C1324" s="121" t="s">
        <v>5192</v>
      </c>
      <c r="D1324" s="121" t="s">
        <v>16</v>
      </c>
      <c r="E1324" s="122" t="s">
        <v>5193</v>
      </c>
      <c r="F1324" s="123">
        <f t="shared" si="66"/>
        <v>2</v>
      </c>
      <c r="G1324" s="121" t="s">
        <v>5194</v>
      </c>
      <c r="H1324" s="124"/>
      <c r="I1324" s="122" t="s">
        <v>5195</v>
      </c>
      <c r="J1324" s="122" t="s">
        <v>5195</v>
      </c>
      <c r="K1324" s="125"/>
      <c r="L1324" s="125"/>
    </row>
    <row r="1325">
      <c r="A1325" s="119"/>
      <c r="B1325" s="119" t="s">
        <v>5134</v>
      </c>
      <c r="C1325" s="121" t="s">
        <v>5196</v>
      </c>
      <c r="D1325" s="121" t="s">
        <v>31</v>
      </c>
      <c r="E1325" s="122" t="s">
        <v>5197</v>
      </c>
      <c r="F1325" s="123">
        <f t="shared" si="66"/>
        <v>2</v>
      </c>
      <c r="G1325" s="121" t="s">
        <v>5198</v>
      </c>
      <c r="H1325" s="124"/>
      <c r="I1325" s="122" t="s">
        <v>5199</v>
      </c>
      <c r="J1325" s="122" t="s">
        <v>5199</v>
      </c>
      <c r="K1325" s="125"/>
      <c r="L1325" s="125"/>
    </row>
    <row r="1326">
      <c r="A1326" s="119"/>
      <c r="B1326" s="119" t="s">
        <v>5134</v>
      </c>
      <c r="C1326" s="121" t="s">
        <v>5200</v>
      </c>
      <c r="D1326" s="121" t="s">
        <v>31</v>
      </c>
      <c r="E1326" s="122" t="s">
        <v>5201</v>
      </c>
      <c r="F1326" s="123">
        <f t="shared" si="66"/>
        <v>2</v>
      </c>
      <c r="G1326" s="121" t="s">
        <v>5202</v>
      </c>
      <c r="H1326" s="124"/>
      <c r="I1326" s="122" t="s">
        <v>5203</v>
      </c>
      <c r="J1326" s="122" t="s">
        <v>5203</v>
      </c>
      <c r="K1326" s="125"/>
      <c r="L1326" s="125"/>
    </row>
    <row r="1327">
      <c r="A1327" s="119"/>
      <c r="B1327" s="119" t="s">
        <v>5134</v>
      </c>
      <c r="C1327" s="121" t="s">
        <v>5204</v>
      </c>
      <c r="D1327" s="121" t="s">
        <v>31</v>
      </c>
      <c r="E1327" s="122" t="s">
        <v>5205</v>
      </c>
      <c r="F1327" s="123">
        <f t="shared" si="66"/>
        <v>2</v>
      </c>
      <c r="G1327" s="121" t="s">
        <v>5206</v>
      </c>
      <c r="H1327" s="124"/>
      <c r="I1327" s="122" t="s">
        <v>5207</v>
      </c>
      <c r="J1327" s="122" t="s">
        <v>5207</v>
      </c>
      <c r="K1327" s="125"/>
      <c r="L1327" s="125"/>
    </row>
    <row r="1328">
      <c r="A1328" s="119"/>
      <c r="B1328" s="119" t="s">
        <v>5134</v>
      </c>
      <c r="C1328" s="121" t="s">
        <v>5208</v>
      </c>
      <c r="D1328" s="121" t="s">
        <v>31</v>
      </c>
      <c r="E1328" s="122" t="s">
        <v>5209</v>
      </c>
      <c r="F1328" s="123">
        <f t="shared" si="66"/>
        <v>2</v>
      </c>
      <c r="G1328" s="121" t="s">
        <v>5210</v>
      </c>
      <c r="H1328" s="124"/>
      <c r="I1328" s="122" t="s">
        <v>5211</v>
      </c>
      <c r="J1328" s="122" t="s">
        <v>5211</v>
      </c>
      <c r="K1328" s="125"/>
      <c r="L1328" s="125"/>
    </row>
    <row r="1329">
      <c r="A1329" s="119"/>
      <c r="B1329" s="119" t="s">
        <v>5134</v>
      </c>
      <c r="C1329" s="121" t="s">
        <v>5212</v>
      </c>
      <c r="D1329" s="121" t="s">
        <v>31</v>
      </c>
      <c r="E1329" s="122" t="s">
        <v>5213</v>
      </c>
      <c r="F1329" s="123">
        <f t="shared" si="66"/>
        <v>2</v>
      </c>
      <c r="G1329" s="121" t="s">
        <v>5214</v>
      </c>
      <c r="H1329" s="124"/>
      <c r="I1329" s="122" t="s">
        <v>5215</v>
      </c>
      <c r="J1329" s="122" t="s">
        <v>5215</v>
      </c>
      <c r="K1329" s="125"/>
      <c r="L1329" s="125"/>
    </row>
    <row r="1330">
      <c r="A1330" s="119"/>
      <c r="B1330" s="119"/>
      <c r="C1330" s="124"/>
      <c r="D1330" s="124"/>
      <c r="E1330" s="125"/>
      <c r="F1330" s="123"/>
      <c r="G1330" s="121" t="s">
        <v>851</v>
      </c>
      <c r="H1330" s="124"/>
      <c r="I1330" s="125"/>
      <c r="J1330" s="125"/>
      <c r="K1330" s="125"/>
      <c r="L1330" s="125"/>
    </row>
    <row r="1331">
      <c r="A1331" s="119" t="s">
        <v>4205</v>
      </c>
      <c r="B1331" s="119" t="s">
        <v>5134</v>
      </c>
      <c r="C1331" s="121" t="s">
        <v>5216</v>
      </c>
      <c r="D1331" s="121" t="s">
        <v>31</v>
      </c>
      <c r="E1331" s="122" t="s">
        <v>5217</v>
      </c>
      <c r="F1331" s="123">
        <f t="shared" ref="F1331:F1348" si="67">counta(I1331:J1331)</f>
        <v>2</v>
      </c>
      <c r="G1331" s="121" t="s">
        <v>5218</v>
      </c>
      <c r="H1331" s="124"/>
      <c r="I1331" s="122" t="s">
        <v>5219</v>
      </c>
      <c r="J1331" s="122" t="s">
        <v>5219</v>
      </c>
      <c r="K1331" s="125"/>
      <c r="L1331" s="125"/>
    </row>
    <row r="1332">
      <c r="A1332" s="119"/>
      <c r="B1332" s="119" t="s">
        <v>5134</v>
      </c>
      <c r="C1332" s="121" t="s">
        <v>5220</v>
      </c>
      <c r="D1332" s="121" t="s">
        <v>31</v>
      </c>
      <c r="E1332" s="122" t="s">
        <v>5221</v>
      </c>
      <c r="F1332" s="123">
        <f t="shared" si="67"/>
        <v>2</v>
      </c>
      <c r="G1332" s="121" t="s">
        <v>5222</v>
      </c>
      <c r="H1332" s="124"/>
      <c r="I1332" s="122" t="s">
        <v>5223</v>
      </c>
      <c r="J1332" s="122" t="s">
        <v>5223</v>
      </c>
      <c r="K1332" s="125"/>
      <c r="L1332" s="125"/>
    </row>
    <row r="1333">
      <c r="A1333" s="119"/>
      <c r="B1333" s="119" t="s">
        <v>5134</v>
      </c>
      <c r="C1333" s="121" t="s">
        <v>5224</v>
      </c>
      <c r="D1333" s="121" t="s">
        <v>31</v>
      </c>
      <c r="E1333" s="122" t="s">
        <v>5225</v>
      </c>
      <c r="F1333" s="123">
        <f t="shared" si="67"/>
        <v>2</v>
      </c>
      <c r="G1333" s="121" t="s">
        <v>5226</v>
      </c>
      <c r="H1333" s="124"/>
      <c r="I1333" s="122" t="s">
        <v>5227</v>
      </c>
      <c r="J1333" s="122" t="s">
        <v>5227</v>
      </c>
      <c r="K1333" s="125"/>
      <c r="L1333" s="125"/>
    </row>
    <row r="1334">
      <c r="A1334" s="119"/>
      <c r="B1334" s="119" t="s">
        <v>5134</v>
      </c>
      <c r="C1334" s="121" t="s">
        <v>5228</v>
      </c>
      <c r="D1334" s="121" t="s">
        <v>31</v>
      </c>
      <c r="E1334" s="122" t="s">
        <v>5229</v>
      </c>
      <c r="F1334" s="123">
        <f t="shared" si="67"/>
        <v>2</v>
      </c>
      <c r="G1334" s="121" t="s">
        <v>5230</v>
      </c>
      <c r="H1334" s="124"/>
      <c r="I1334" s="122" t="s">
        <v>5231</v>
      </c>
      <c r="J1334" s="122" t="s">
        <v>5231</v>
      </c>
      <c r="K1334" s="125"/>
      <c r="L1334" s="125"/>
    </row>
    <row r="1335">
      <c r="A1335" s="119"/>
      <c r="B1335" s="119" t="s">
        <v>5134</v>
      </c>
      <c r="C1335" s="121" t="s">
        <v>5232</v>
      </c>
      <c r="D1335" s="121" t="s">
        <v>31</v>
      </c>
      <c r="E1335" s="122" t="s">
        <v>5233</v>
      </c>
      <c r="F1335" s="123">
        <f t="shared" si="67"/>
        <v>2</v>
      </c>
      <c r="G1335" s="121" t="s">
        <v>5234</v>
      </c>
      <c r="H1335" s="124"/>
      <c r="I1335" s="122" t="s">
        <v>5235</v>
      </c>
      <c r="J1335" s="122" t="s">
        <v>5235</v>
      </c>
      <c r="K1335" s="125"/>
      <c r="L1335" s="125"/>
    </row>
    <row r="1336">
      <c r="A1336" s="119"/>
      <c r="B1336" s="119" t="s">
        <v>5134</v>
      </c>
      <c r="C1336" s="121" t="s">
        <v>5236</v>
      </c>
      <c r="D1336" s="121" t="s">
        <v>31</v>
      </c>
      <c r="E1336" s="122" t="s">
        <v>5237</v>
      </c>
      <c r="F1336" s="123">
        <f t="shared" si="67"/>
        <v>2</v>
      </c>
      <c r="G1336" s="121" t="s">
        <v>5238</v>
      </c>
      <c r="H1336" s="124"/>
      <c r="I1336" s="122" t="s">
        <v>5239</v>
      </c>
      <c r="J1336" s="122" t="s">
        <v>5239</v>
      </c>
      <c r="K1336" s="125"/>
      <c r="L1336" s="125"/>
    </row>
    <row r="1337">
      <c r="A1337" s="119"/>
      <c r="B1337" s="119" t="s">
        <v>5134</v>
      </c>
      <c r="C1337" s="128" t="s">
        <v>5240</v>
      </c>
      <c r="D1337" s="121" t="s">
        <v>31</v>
      </c>
      <c r="E1337" s="122" t="s">
        <v>5241</v>
      </c>
      <c r="F1337" s="123">
        <f t="shared" si="67"/>
        <v>2</v>
      </c>
      <c r="G1337" s="121" t="s">
        <v>5242</v>
      </c>
      <c r="H1337" s="124"/>
      <c r="I1337" s="122" t="s">
        <v>5243</v>
      </c>
      <c r="J1337" s="122" t="s">
        <v>5243</v>
      </c>
      <c r="K1337" s="125"/>
      <c r="L1337" s="125"/>
    </row>
    <row r="1338">
      <c r="A1338" s="119"/>
      <c r="B1338" s="119" t="s">
        <v>5134</v>
      </c>
      <c r="C1338" s="121" t="s">
        <v>5244</v>
      </c>
      <c r="D1338" s="121" t="s">
        <v>31</v>
      </c>
      <c r="E1338" s="122" t="s">
        <v>5245</v>
      </c>
      <c r="F1338" s="123">
        <f t="shared" si="67"/>
        <v>2</v>
      </c>
      <c r="G1338" s="121" t="s">
        <v>5246</v>
      </c>
      <c r="H1338" s="124"/>
      <c r="I1338" s="122" t="s">
        <v>5247</v>
      </c>
      <c r="J1338" s="122" t="s">
        <v>5247</v>
      </c>
      <c r="K1338" s="125"/>
      <c r="L1338" s="125"/>
    </row>
    <row r="1339">
      <c r="A1339" s="119"/>
      <c r="B1339" s="119" t="s">
        <v>5134</v>
      </c>
      <c r="C1339" s="121" t="s">
        <v>5248</v>
      </c>
      <c r="D1339" s="121" t="s">
        <v>31</v>
      </c>
      <c r="E1339" s="122" t="s">
        <v>5249</v>
      </c>
      <c r="F1339" s="123">
        <f t="shared" si="67"/>
        <v>2</v>
      </c>
      <c r="G1339" s="121" t="s">
        <v>5250</v>
      </c>
      <c r="H1339" s="124"/>
      <c r="I1339" s="122" t="s">
        <v>5251</v>
      </c>
      <c r="J1339" s="122" t="s">
        <v>5251</v>
      </c>
      <c r="K1339" s="125"/>
      <c r="L1339" s="125"/>
    </row>
    <row r="1340">
      <c r="A1340" s="119"/>
      <c r="B1340" s="119" t="s">
        <v>5134</v>
      </c>
      <c r="C1340" s="121" t="s">
        <v>5252</v>
      </c>
      <c r="D1340" s="121" t="s">
        <v>31</v>
      </c>
      <c r="E1340" s="122" t="s">
        <v>5253</v>
      </c>
      <c r="F1340" s="123">
        <f t="shared" si="67"/>
        <v>2</v>
      </c>
      <c r="G1340" s="121" t="s">
        <v>5254</v>
      </c>
      <c r="H1340" s="124"/>
      <c r="I1340" s="122" t="s">
        <v>5255</v>
      </c>
      <c r="J1340" s="122" t="s">
        <v>5255</v>
      </c>
      <c r="K1340" s="125"/>
      <c r="L1340" s="125"/>
    </row>
    <row r="1341">
      <c r="A1341" s="119"/>
      <c r="B1341" s="119" t="s">
        <v>5134</v>
      </c>
      <c r="C1341" s="121" t="s">
        <v>5256</v>
      </c>
      <c r="D1341" s="121" t="s">
        <v>31</v>
      </c>
      <c r="E1341" s="122" t="s">
        <v>5257</v>
      </c>
      <c r="F1341" s="123">
        <f t="shared" si="67"/>
        <v>2</v>
      </c>
      <c r="G1341" s="121" t="s">
        <v>5258</v>
      </c>
      <c r="H1341" s="124"/>
      <c r="I1341" s="122" t="s">
        <v>5259</v>
      </c>
      <c r="J1341" s="122" t="s">
        <v>5259</v>
      </c>
      <c r="K1341" s="125"/>
      <c r="L1341" s="125"/>
    </row>
    <row r="1342">
      <c r="A1342" s="119"/>
      <c r="B1342" s="119" t="s">
        <v>5134</v>
      </c>
      <c r="C1342" s="121" t="s">
        <v>5260</v>
      </c>
      <c r="D1342" s="121" t="s">
        <v>31</v>
      </c>
      <c r="E1342" s="122" t="s">
        <v>5261</v>
      </c>
      <c r="F1342" s="123">
        <f t="shared" si="67"/>
        <v>2</v>
      </c>
      <c r="G1342" s="121" t="s">
        <v>5262</v>
      </c>
      <c r="H1342" s="124"/>
      <c r="I1342" s="122" t="s">
        <v>5263</v>
      </c>
      <c r="J1342" s="122" t="s">
        <v>5263</v>
      </c>
      <c r="K1342" s="125"/>
      <c r="L1342" s="125"/>
    </row>
    <row r="1343">
      <c r="A1343" s="119"/>
      <c r="B1343" s="119" t="s">
        <v>5134</v>
      </c>
      <c r="C1343" s="121" t="s">
        <v>5264</v>
      </c>
      <c r="D1343" s="121" t="s">
        <v>31</v>
      </c>
      <c r="E1343" s="122" t="s">
        <v>5265</v>
      </c>
      <c r="F1343" s="123">
        <f t="shared" si="67"/>
        <v>2</v>
      </c>
      <c r="G1343" s="121" t="s">
        <v>5266</v>
      </c>
      <c r="H1343" s="124"/>
      <c r="I1343" s="122" t="s">
        <v>5267</v>
      </c>
      <c r="J1343" s="122" t="s">
        <v>5267</v>
      </c>
      <c r="K1343" s="125"/>
      <c r="L1343" s="125"/>
    </row>
    <row r="1344">
      <c r="A1344" s="119"/>
      <c r="B1344" s="119" t="s">
        <v>5134</v>
      </c>
      <c r="C1344" s="121" t="s">
        <v>5268</v>
      </c>
      <c r="D1344" s="121" t="s">
        <v>31</v>
      </c>
      <c r="E1344" s="122" t="s">
        <v>5269</v>
      </c>
      <c r="F1344" s="123">
        <f t="shared" si="67"/>
        <v>2</v>
      </c>
      <c r="G1344" s="121" t="s">
        <v>5270</v>
      </c>
      <c r="H1344" s="124"/>
      <c r="I1344" s="122" t="s">
        <v>5271</v>
      </c>
      <c r="J1344" s="122" t="s">
        <v>5271</v>
      </c>
      <c r="K1344" s="125"/>
      <c r="L1344" s="125"/>
    </row>
    <row r="1345">
      <c r="A1345" s="119"/>
      <c r="B1345" s="119" t="s">
        <v>5134</v>
      </c>
      <c r="C1345" s="121" t="s">
        <v>5272</v>
      </c>
      <c r="D1345" s="121" t="s">
        <v>31</v>
      </c>
      <c r="E1345" s="122" t="s">
        <v>5273</v>
      </c>
      <c r="F1345" s="123">
        <f t="shared" si="67"/>
        <v>2</v>
      </c>
      <c r="G1345" s="121" t="s">
        <v>5274</v>
      </c>
      <c r="H1345" s="124"/>
      <c r="I1345" s="122" t="s">
        <v>5275</v>
      </c>
      <c r="J1345" s="122" t="s">
        <v>5275</v>
      </c>
      <c r="K1345" s="125"/>
      <c r="L1345" s="125"/>
    </row>
    <row r="1346">
      <c r="A1346" s="119"/>
      <c r="B1346" s="119" t="s">
        <v>5134</v>
      </c>
      <c r="C1346" s="121" t="s">
        <v>5276</v>
      </c>
      <c r="D1346" s="121" t="s">
        <v>40</v>
      </c>
      <c r="E1346" s="122" t="s">
        <v>5277</v>
      </c>
      <c r="F1346" s="123">
        <f t="shared" si="67"/>
        <v>2</v>
      </c>
      <c r="G1346" s="121" t="s">
        <v>5278</v>
      </c>
      <c r="H1346" s="124"/>
      <c r="I1346" s="122" t="s">
        <v>5279</v>
      </c>
      <c r="J1346" s="122" t="s">
        <v>5279</v>
      </c>
      <c r="K1346" s="125"/>
      <c r="L1346" s="125"/>
    </row>
    <row r="1347">
      <c r="A1347" s="119"/>
      <c r="B1347" s="119" t="s">
        <v>5134</v>
      </c>
      <c r="C1347" s="121" t="s">
        <v>5280</v>
      </c>
      <c r="D1347" s="121" t="s">
        <v>40</v>
      </c>
      <c r="E1347" s="122" t="s">
        <v>5281</v>
      </c>
      <c r="F1347" s="123">
        <f t="shared" si="67"/>
        <v>2</v>
      </c>
      <c r="G1347" s="121" t="s">
        <v>5282</v>
      </c>
      <c r="H1347" s="124"/>
      <c r="I1347" s="122" t="s">
        <v>5283</v>
      </c>
      <c r="J1347" s="122" t="s">
        <v>5283</v>
      </c>
      <c r="K1347" s="125"/>
      <c r="L1347" s="125"/>
    </row>
    <row r="1348">
      <c r="A1348" s="119"/>
      <c r="B1348" s="119" t="s">
        <v>5134</v>
      </c>
      <c r="C1348" s="121" t="s">
        <v>5284</v>
      </c>
      <c r="D1348" s="121" t="s">
        <v>40</v>
      </c>
      <c r="E1348" s="122" t="s">
        <v>5285</v>
      </c>
      <c r="F1348" s="123">
        <f t="shared" si="67"/>
        <v>2</v>
      </c>
      <c r="G1348" s="121" t="s">
        <v>5286</v>
      </c>
      <c r="H1348" s="124"/>
      <c r="I1348" s="122" t="s">
        <v>5287</v>
      </c>
      <c r="J1348" s="122" t="s">
        <v>5287</v>
      </c>
      <c r="K1348" s="125"/>
      <c r="L1348" s="125"/>
    </row>
    <row r="1349">
      <c r="A1349" s="33"/>
      <c r="B1349" s="33"/>
      <c r="C1349" s="118"/>
      <c r="D1349" s="118"/>
      <c r="F1349" s="14"/>
      <c r="G1349" s="12" t="s">
        <v>851</v>
      </c>
      <c r="H1349" s="118"/>
    </row>
    <row r="1350">
      <c r="A1350" s="119" t="s">
        <v>4205</v>
      </c>
      <c r="B1350" s="119" t="s">
        <v>5134</v>
      </c>
      <c r="C1350" s="121" t="s">
        <v>5288</v>
      </c>
      <c r="D1350" s="121" t="s">
        <v>4509</v>
      </c>
      <c r="E1350" s="122" t="s">
        <v>5289</v>
      </c>
      <c r="F1350" s="123">
        <f t="shared" ref="F1350:F1351" si="68">counta(I1350:J1350)</f>
        <v>2</v>
      </c>
      <c r="G1350" s="121" t="s">
        <v>5290</v>
      </c>
      <c r="H1350" s="124"/>
      <c r="I1350" s="122" t="s">
        <v>5291</v>
      </c>
      <c r="J1350" s="122" t="s">
        <v>5291</v>
      </c>
      <c r="K1350" s="125"/>
      <c r="L1350" s="125"/>
    </row>
    <row r="1351">
      <c r="A1351" s="119"/>
      <c r="B1351" s="119" t="s">
        <v>5134</v>
      </c>
      <c r="C1351" s="121" t="s">
        <v>5292</v>
      </c>
      <c r="D1351" s="121" t="s">
        <v>26</v>
      </c>
      <c r="E1351" s="122" t="s">
        <v>26</v>
      </c>
      <c r="F1351" s="123">
        <f t="shared" si="68"/>
        <v>2</v>
      </c>
      <c r="G1351" s="121" t="s">
        <v>5293</v>
      </c>
      <c r="H1351" s="124"/>
      <c r="I1351" s="122" t="s">
        <v>5294</v>
      </c>
      <c r="J1351" s="122" t="s">
        <v>5294</v>
      </c>
      <c r="K1351" s="125"/>
      <c r="L1351" s="125"/>
    </row>
    <row r="1352">
      <c r="A1352" s="33"/>
      <c r="B1352" s="33"/>
      <c r="C1352" s="118"/>
      <c r="D1352" s="118"/>
      <c r="F1352" s="14"/>
      <c r="G1352" s="12" t="s">
        <v>851</v>
      </c>
      <c r="H1352" s="118"/>
    </row>
    <row r="1353">
      <c r="A1353" s="119" t="s">
        <v>4205</v>
      </c>
      <c r="B1353" s="119" t="s">
        <v>5295</v>
      </c>
      <c r="C1353" s="121" t="s">
        <v>3437</v>
      </c>
      <c r="D1353" s="121" t="s">
        <v>26</v>
      </c>
      <c r="E1353" s="122" t="s">
        <v>5296</v>
      </c>
      <c r="F1353" s="123">
        <f t="shared" ref="F1353:F1362" si="69">counta(I1353:J1353)</f>
        <v>2</v>
      </c>
      <c r="G1353" s="121" t="s">
        <v>3439</v>
      </c>
      <c r="H1353" s="124"/>
      <c r="I1353" s="122" t="s">
        <v>5297</v>
      </c>
      <c r="J1353" s="122" t="s">
        <v>5297</v>
      </c>
      <c r="K1353" s="125"/>
      <c r="L1353" s="125"/>
    </row>
    <row r="1354">
      <c r="A1354" s="119"/>
      <c r="B1354" s="119" t="s">
        <v>5295</v>
      </c>
      <c r="C1354" s="121" t="s">
        <v>5298</v>
      </c>
      <c r="D1354" s="121" t="s">
        <v>26</v>
      </c>
      <c r="E1354" s="122" t="s">
        <v>5299</v>
      </c>
      <c r="F1354" s="123">
        <f t="shared" si="69"/>
        <v>2</v>
      </c>
      <c r="G1354" s="121" t="s">
        <v>5298</v>
      </c>
      <c r="H1354" s="124"/>
      <c r="I1354" s="122" t="s">
        <v>5300</v>
      </c>
      <c r="J1354" s="122" t="s">
        <v>5300</v>
      </c>
      <c r="K1354" s="125"/>
      <c r="L1354" s="125"/>
    </row>
    <row r="1355">
      <c r="A1355" s="119"/>
      <c r="B1355" s="119" t="s">
        <v>5295</v>
      </c>
      <c r="C1355" s="121" t="s">
        <v>5301</v>
      </c>
      <c r="D1355" s="121" t="s">
        <v>31</v>
      </c>
      <c r="E1355" s="122" t="s">
        <v>5302</v>
      </c>
      <c r="F1355" s="123">
        <f t="shared" si="69"/>
        <v>2</v>
      </c>
      <c r="G1355" s="121" t="s">
        <v>5303</v>
      </c>
      <c r="H1355" s="124"/>
      <c r="I1355" s="122" t="s">
        <v>5304</v>
      </c>
      <c r="J1355" s="122" t="s">
        <v>5304</v>
      </c>
      <c r="K1355" s="125"/>
      <c r="L1355" s="125"/>
    </row>
    <row r="1356">
      <c r="A1356" s="119"/>
      <c r="B1356" s="119" t="s">
        <v>5295</v>
      </c>
      <c r="C1356" s="121" t="s">
        <v>5305</v>
      </c>
      <c r="D1356" s="121" t="s">
        <v>5305</v>
      </c>
      <c r="E1356" s="122" t="s">
        <v>5306</v>
      </c>
      <c r="F1356" s="123">
        <f t="shared" si="69"/>
        <v>2</v>
      </c>
      <c r="G1356" s="121" t="s">
        <v>5307</v>
      </c>
      <c r="H1356" s="124"/>
      <c r="I1356" s="122" t="s">
        <v>5308</v>
      </c>
      <c r="J1356" s="122" t="s">
        <v>5308</v>
      </c>
      <c r="K1356" s="125"/>
      <c r="L1356" s="125"/>
    </row>
    <row r="1357">
      <c r="A1357" s="119"/>
      <c r="B1357" s="119" t="s">
        <v>5295</v>
      </c>
      <c r="C1357" s="121" t="s">
        <v>5309</v>
      </c>
      <c r="D1357" s="121" t="s">
        <v>5309</v>
      </c>
      <c r="E1357" s="122" t="s">
        <v>5310</v>
      </c>
      <c r="F1357" s="123">
        <f t="shared" si="69"/>
        <v>2</v>
      </c>
      <c r="G1357" s="121" t="s">
        <v>5311</v>
      </c>
      <c r="H1357" s="124"/>
      <c r="I1357" s="122" t="s">
        <v>5312</v>
      </c>
      <c r="J1357" s="122" t="s">
        <v>5312</v>
      </c>
      <c r="K1357" s="125"/>
      <c r="L1357" s="125"/>
    </row>
    <row r="1358">
      <c r="A1358" s="119"/>
      <c r="B1358" s="119" t="s">
        <v>5295</v>
      </c>
      <c r="C1358" s="121" t="s">
        <v>5313</v>
      </c>
      <c r="D1358" s="121" t="s">
        <v>16</v>
      </c>
      <c r="E1358" s="122" t="s">
        <v>5314</v>
      </c>
      <c r="F1358" s="123">
        <f t="shared" si="69"/>
        <v>2</v>
      </c>
      <c r="G1358" s="121" t="s">
        <v>5315</v>
      </c>
      <c r="H1358" s="124"/>
      <c r="I1358" s="122" t="s">
        <v>5316</v>
      </c>
      <c r="J1358" s="122" t="s">
        <v>5316</v>
      </c>
      <c r="K1358" s="125"/>
      <c r="L1358" s="125"/>
    </row>
    <row r="1359">
      <c r="A1359" s="119"/>
      <c r="B1359" s="119" t="s">
        <v>5295</v>
      </c>
      <c r="C1359" s="121" t="s">
        <v>5317</v>
      </c>
      <c r="D1359" s="121" t="s">
        <v>5317</v>
      </c>
      <c r="E1359" s="127" t="s">
        <v>5318</v>
      </c>
      <c r="F1359" s="123">
        <f t="shared" si="69"/>
        <v>1</v>
      </c>
      <c r="G1359" s="121" t="s">
        <v>5319</v>
      </c>
      <c r="H1359" s="124"/>
      <c r="I1359" s="122"/>
      <c r="J1359" s="122" t="s">
        <v>5320</v>
      </c>
      <c r="K1359" s="125"/>
      <c r="L1359" s="125"/>
    </row>
    <row r="1360">
      <c r="A1360" s="119"/>
      <c r="B1360" s="119" t="s">
        <v>5295</v>
      </c>
      <c r="C1360" s="121" t="s">
        <v>5321</v>
      </c>
      <c r="D1360" s="121" t="s">
        <v>40</v>
      </c>
      <c r="E1360" s="127" t="s">
        <v>5322</v>
      </c>
      <c r="F1360" s="123">
        <f t="shared" si="69"/>
        <v>1</v>
      </c>
      <c r="G1360" s="121" t="s">
        <v>5323</v>
      </c>
      <c r="H1360" s="124"/>
      <c r="I1360" s="122"/>
      <c r="J1360" s="122" t="s">
        <v>5324</v>
      </c>
      <c r="K1360" s="125"/>
      <c r="L1360" s="125"/>
    </row>
    <row r="1361">
      <c r="A1361" s="119"/>
      <c r="B1361" s="119" t="s">
        <v>5295</v>
      </c>
      <c r="C1361" s="121" t="s">
        <v>5325</v>
      </c>
      <c r="D1361" s="121" t="s">
        <v>4509</v>
      </c>
      <c r="E1361" s="127" t="s">
        <v>5326</v>
      </c>
      <c r="F1361" s="123">
        <f t="shared" si="69"/>
        <v>2</v>
      </c>
      <c r="G1361" s="121" t="s">
        <v>5327</v>
      </c>
      <c r="H1361" s="124"/>
      <c r="I1361" s="122" t="s">
        <v>5328</v>
      </c>
      <c r="J1361" s="122" t="s">
        <v>5328</v>
      </c>
      <c r="K1361" s="125"/>
      <c r="L1361" s="125"/>
    </row>
    <row r="1362">
      <c r="A1362" s="119"/>
      <c r="B1362" s="119" t="s">
        <v>5295</v>
      </c>
      <c r="C1362" s="121" t="s">
        <v>5329</v>
      </c>
      <c r="D1362" s="121" t="s">
        <v>26</v>
      </c>
      <c r="E1362" s="122" t="s">
        <v>5330</v>
      </c>
      <c r="F1362" s="123">
        <f t="shared" si="69"/>
        <v>2</v>
      </c>
      <c r="G1362" s="121" t="s">
        <v>5331</v>
      </c>
      <c r="H1362" s="124"/>
      <c r="I1362" s="122" t="s">
        <v>5332</v>
      </c>
      <c r="J1362" s="122" t="s">
        <v>5332</v>
      </c>
      <c r="K1362" s="125"/>
      <c r="L1362" s="125"/>
    </row>
    <row r="1363">
      <c r="A1363" s="33"/>
      <c r="B1363" s="117"/>
      <c r="C1363" s="118"/>
      <c r="D1363" s="118"/>
      <c r="F1363" s="14"/>
      <c r="G1363" s="12" t="s">
        <v>851</v>
      </c>
      <c r="H1363" s="118"/>
    </row>
    <row r="1364">
      <c r="A1364" s="119" t="s">
        <v>4205</v>
      </c>
      <c r="B1364" s="119" t="s">
        <v>3422</v>
      </c>
      <c r="C1364" s="121" t="s">
        <v>5333</v>
      </c>
      <c r="D1364" s="121" t="s">
        <v>26</v>
      </c>
      <c r="E1364" s="122" t="s">
        <v>4210</v>
      </c>
      <c r="F1364" s="123">
        <f t="shared" ref="F1364:F1369" si="70">counta(I1364:J1364)</f>
        <v>2</v>
      </c>
      <c r="G1364" s="121" t="s">
        <v>5334</v>
      </c>
      <c r="H1364" s="124"/>
      <c r="I1364" s="126" t="s">
        <v>5335</v>
      </c>
      <c r="J1364" s="126" t="s">
        <v>5335</v>
      </c>
      <c r="K1364" s="125"/>
      <c r="L1364" s="125"/>
    </row>
    <row r="1365">
      <c r="A1365" s="119"/>
      <c r="B1365" s="119" t="s">
        <v>3422</v>
      </c>
      <c r="C1365" s="121" t="s">
        <v>5336</v>
      </c>
      <c r="D1365" s="121" t="s">
        <v>26</v>
      </c>
      <c r="E1365" s="122" t="s">
        <v>4227</v>
      </c>
      <c r="F1365" s="123">
        <f t="shared" si="70"/>
        <v>2</v>
      </c>
      <c r="G1365" s="121" t="s">
        <v>5337</v>
      </c>
      <c r="H1365" s="124"/>
      <c r="I1365" s="122" t="s">
        <v>5338</v>
      </c>
      <c r="J1365" s="122" t="s">
        <v>5338</v>
      </c>
      <c r="K1365" s="125"/>
      <c r="L1365" s="125"/>
    </row>
    <row r="1366">
      <c r="A1366" s="119"/>
      <c r="B1366" s="119" t="s">
        <v>3422</v>
      </c>
      <c r="C1366" s="121" t="s">
        <v>5339</v>
      </c>
      <c r="D1366" s="121" t="s">
        <v>5340</v>
      </c>
      <c r="E1366" s="122" t="s">
        <v>5341</v>
      </c>
      <c r="F1366" s="123">
        <f t="shared" si="70"/>
        <v>2</v>
      </c>
      <c r="G1366" s="121" t="s">
        <v>5342</v>
      </c>
      <c r="H1366" s="124"/>
      <c r="I1366" s="122" t="s">
        <v>5343</v>
      </c>
      <c r="J1366" s="122" t="s">
        <v>5343</v>
      </c>
      <c r="K1366" s="125"/>
      <c r="L1366" s="125"/>
    </row>
    <row r="1367">
      <c r="A1367" s="119"/>
      <c r="B1367" s="119" t="s">
        <v>3422</v>
      </c>
      <c r="C1367" s="121" t="s">
        <v>3521</v>
      </c>
      <c r="D1367" s="121" t="s">
        <v>26</v>
      </c>
      <c r="E1367" s="122" t="s">
        <v>3522</v>
      </c>
      <c r="F1367" s="123">
        <f t="shared" si="70"/>
        <v>2</v>
      </c>
      <c r="G1367" s="121" t="s">
        <v>3523</v>
      </c>
      <c r="H1367" s="124"/>
      <c r="I1367" s="122" t="s">
        <v>5344</v>
      </c>
      <c r="J1367" s="122" t="s">
        <v>5344</v>
      </c>
      <c r="K1367" s="125"/>
      <c r="L1367" s="125"/>
    </row>
    <row r="1368">
      <c r="A1368" s="119"/>
      <c r="B1368" s="119" t="s">
        <v>3422</v>
      </c>
      <c r="C1368" s="121" t="s">
        <v>3536</v>
      </c>
      <c r="D1368" s="121" t="s">
        <v>3536</v>
      </c>
      <c r="E1368" s="122" t="s">
        <v>3537</v>
      </c>
      <c r="F1368" s="123">
        <f t="shared" si="70"/>
        <v>1</v>
      </c>
      <c r="G1368" s="121" t="s">
        <v>3538</v>
      </c>
      <c r="H1368" s="124"/>
      <c r="I1368" s="122"/>
      <c r="J1368" s="122" t="s">
        <v>5345</v>
      </c>
      <c r="K1368" s="125"/>
      <c r="L1368" s="125"/>
    </row>
    <row r="1369">
      <c r="A1369" s="119"/>
      <c r="B1369" s="119" t="s">
        <v>3422</v>
      </c>
      <c r="C1369" s="121" t="s">
        <v>5346</v>
      </c>
      <c r="D1369" s="121" t="s">
        <v>5346</v>
      </c>
      <c r="E1369" s="122" t="s">
        <v>5347</v>
      </c>
      <c r="F1369" s="123">
        <f t="shared" si="70"/>
        <v>2</v>
      </c>
      <c r="G1369" s="121" t="s">
        <v>5348</v>
      </c>
      <c r="H1369" s="124"/>
      <c r="I1369" s="122" t="s">
        <v>5349</v>
      </c>
      <c r="J1369" s="122" t="s">
        <v>5349</v>
      </c>
      <c r="K1369" s="125"/>
      <c r="L1369" s="125"/>
    </row>
    <row r="1370">
      <c r="A1370" s="33"/>
      <c r="B1370" s="33"/>
      <c r="C1370" s="118"/>
      <c r="D1370" s="118"/>
      <c r="F1370" s="14"/>
      <c r="G1370" s="12" t="s">
        <v>851</v>
      </c>
      <c r="H1370" s="118"/>
    </row>
    <row r="1371">
      <c r="A1371" s="119" t="s">
        <v>4205</v>
      </c>
      <c r="B1371" s="119" t="s">
        <v>3422</v>
      </c>
      <c r="C1371" s="121" t="s">
        <v>5350</v>
      </c>
      <c r="D1371" s="121" t="s">
        <v>26</v>
      </c>
      <c r="E1371" s="122" t="s">
        <v>5351</v>
      </c>
      <c r="F1371" s="123">
        <f t="shared" ref="F1371:F1380" si="71">counta(I1371:J1371)</f>
        <v>2</v>
      </c>
      <c r="G1371" s="121" t="s">
        <v>5352</v>
      </c>
      <c r="H1371" s="124"/>
      <c r="I1371" s="122" t="s">
        <v>5353</v>
      </c>
      <c r="J1371" s="122" t="s">
        <v>5353</v>
      </c>
      <c r="K1371" s="125"/>
      <c r="L1371" s="125"/>
    </row>
    <row r="1372">
      <c r="A1372" s="119"/>
      <c r="B1372" s="119" t="s">
        <v>3422</v>
      </c>
      <c r="C1372" s="121" t="s">
        <v>5354</v>
      </c>
      <c r="D1372" s="121" t="s">
        <v>26</v>
      </c>
      <c r="E1372" s="122" t="s">
        <v>5355</v>
      </c>
      <c r="F1372" s="123">
        <f t="shared" si="71"/>
        <v>2</v>
      </c>
      <c r="G1372" s="121" t="s">
        <v>5356</v>
      </c>
      <c r="H1372" s="124"/>
      <c r="I1372" s="122" t="s">
        <v>5357</v>
      </c>
      <c r="J1372" s="122" t="s">
        <v>5357</v>
      </c>
      <c r="K1372" s="125"/>
      <c r="L1372" s="125"/>
    </row>
    <row r="1373">
      <c r="A1373" s="119"/>
      <c r="B1373" s="119" t="s">
        <v>3422</v>
      </c>
      <c r="C1373" s="121"/>
      <c r="D1373" s="121" t="s">
        <v>40</v>
      </c>
      <c r="E1373" s="122" t="s">
        <v>5358</v>
      </c>
      <c r="F1373" s="123">
        <f t="shared" si="71"/>
        <v>2</v>
      </c>
      <c r="G1373" s="121" t="s">
        <v>851</v>
      </c>
      <c r="H1373" s="124"/>
      <c r="I1373" s="122" t="s">
        <v>5359</v>
      </c>
      <c r="J1373" s="122" t="s">
        <v>5359</v>
      </c>
      <c r="K1373" s="125"/>
      <c r="L1373" s="125"/>
    </row>
    <row r="1374">
      <c r="A1374" s="119"/>
      <c r="B1374" s="119" t="s">
        <v>3422</v>
      </c>
      <c r="C1374" s="121"/>
      <c r="D1374" s="121" t="s">
        <v>40</v>
      </c>
      <c r="E1374" s="122" t="s">
        <v>5360</v>
      </c>
      <c r="F1374" s="123">
        <f t="shared" si="71"/>
        <v>2</v>
      </c>
      <c r="G1374" s="121" t="s">
        <v>851</v>
      </c>
      <c r="H1374" s="124"/>
      <c r="I1374" s="122" t="s">
        <v>5361</v>
      </c>
      <c r="J1374" s="122" t="s">
        <v>5361</v>
      </c>
      <c r="K1374" s="125"/>
      <c r="L1374" s="125"/>
    </row>
    <row r="1375">
      <c r="A1375" s="119"/>
      <c r="B1375" s="119" t="s">
        <v>3422</v>
      </c>
      <c r="C1375" s="121"/>
      <c r="D1375" s="121" t="s">
        <v>40</v>
      </c>
      <c r="E1375" s="122" t="s">
        <v>5362</v>
      </c>
      <c r="F1375" s="123">
        <f t="shared" si="71"/>
        <v>2</v>
      </c>
      <c r="G1375" s="121" t="s">
        <v>851</v>
      </c>
      <c r="H1375" s="124"/>
      <c r="I1375" s="122" t="s">
        <v>5363</v>
      </c>
      <c r="J1375" s="122" t="s">
        <v>5363</v>
      </c>
      <c r="K1375" s="125"/>
      <c r="L1375" s="125"/>
    </row>
    <row r="1376">
      <c r="A1376" s="119"/>
      <c r="B1376" s="119" t="s">
        <v>3422</v>
      </c>
      <c r="C1376" s="121"/>
      <c r="D1376" s="121" t="s">
        <v>40</v>
      </c>
      <c r="E1376" s="122" t="s">
        <v>5364</v>
      </c>
      <c r="F1376" s="123">
        <f t="shared" si="71"/>
        <v>2</v>
      </c>
      <c r="G1376" s="121" t="s">
        <v>851</v>
      </c>
      <c r="H1376" s="124"/>
      <c r="I1376" s="122" t="s">
        <v>5365</v>
      </c>
      <c r="J1376" s="122" t="s">
        <v>5365</v>
      </c>
      <c r="K1376" s="125"/>
      <c r="L1376" s="125"/>
    </row>
    <row r="1377">
      <c r="A1377" s="119"/>
      <c r="B1377" s="119" t="s">
        <v>3422</v>
      </c>
      <c r="C1377" s="121"/>
      <c r="D1377" s="121" t="s">
        <v>40</v>
      </c>
      <c r="E1377" s="122" t="s">
        <v>5366</v>
      </c>
      <c r="F1377" s="123">
        <f t="shared" si="71"/>
        <v>2</v>
      </c>
      <c r="G1377" s="121" t="s">
        <v>851</v>
      </c>
      <c r="H1377" s="124"/>
      <c r="I1377" s="122" t="s">
        <v>5367</v>
      </c>
      <c r="J1377" s="122" t="s">
        <v>5367</v>
      </c>
      <c r="K1377" s="125"/>
      <c r="L1377" s="125"/>
    </row>
    <row r="1378">
      <c r="A1378" s="119"/>
      <c r="B1378" s="119" t="s">
        <v>3422</v>
      </c>
      <c r="C1378" s="121"/>
      <c r="D1378" s="121" t="s">
        <v>40</v>
      </c>
      <c r="E1378" s="122" t="s">
        <v>5368</v>
      </c>
      <c r="F1378" s="123">
        <f t="shared" si="71"/>
        <v>2</v>
      </c>
      <c r="G1378" s="121" t="s">
        <v>851</v>
      </c>
      <c r="H1378" s="124"/>
      <c r="I1378" s="122" t="s">
        <v>5369</v>
      </c>
      <c r="J1378" s="122" t="s">
        <v>5369</v>
      </c>
      <c r="K1378" s="125"/>
      <c r="L1378" s="125"/>
    </row>
    <row r="1379">
      <c r="A1379" s="119"/>
      <c r="B1379" s="119" t="s">
        <v>3422</v>
      </c>
      <c r="C1379" s="121"/>
      <c r="D1379" s="121" t="s">
        <v>40</v>
      </c>
      <c r="E1379" s="122" t="s">
        <v>5370</v>
      </c>
      <c r="F1379" s="123">
        <f t="shared" si="71"/>
        <v>2</v>
      </c>
      <c r="G1379" s="121" t="s">
        <v>851</v>
      </c>
      <c r="H1379" s="124"/>
      <c r="I1379" s="122" t="s">
        <v>5371</v>
      </c>
      <c r="J1379" s="122" t="s">
        <v>5371</v>
      </c>
      <c r="K1379" s="125"/>
      <c r="L1379" s="125"/>
    </row>
    <row r="1380">
      <c r="A1380" s="119"/>
      <c r="B1380" s="119" t="s">
        <v>3422</v>
      </c>
      <c r="C1380" s="121"/>
      <c r="D1380" s="121" t="s">
        <v>40</v>
      </c>
      <c r="E1380" s="122" t="s">
        <v>5372</v>
      </c>
      <c r="F1380" s="123">
        <f t="shared" si="71"/>
        <v>2</v>
      </c>
      <c r="G1380" s="121" t="s">
        <v>851</v>
      </c>
      <c r="H1380" s="124"/>
      <c r="I1380" s="122" t="s">
        <v>5373</v>
      </c>
      <c r="J1380" s="122" t="s">
        <v>5373</v>
      </c>
      <c r="K1380" s="125"/>
      <c r="L1380" s="125"/>
    </row>
    <row r="1381">
      <c r="A1381" s="33"/>
      <c r="B1381" s="33"/>
      <c r="C1381" s="118"/>
      <c r="D1381" s="118"/>
      <c r="F1381" s="14"/>
      <c r="G1381" s="12" t="s">
        <v>851</v>
      </c>
      <c r="H1381" s="118"/>
    </row>
    <row r="1382">
      <c r="A1382" s="119" t="s">
        <v>4205</v>
      </c>
      <c r="B1382" s="119" t="s">
        <v>5374</v>
      </c>
      <c r="C1382" s="121" t="s">
        <v>5375</v>
      </c>
      <c r="D1382" s="121" t="s">
        <v>40</v>
      </c>
      <c r="E1382" s="122" t="s">
        <v>5376</v>
      </c>
      <c r="F1382" s="123">
        <f t="shared" ref="F1382:F1421" si="72">counta(I1382:J1382)</f>
        <v>2</v>
      </c>
      <c r="G1382" s="121" t="s">
        <v>5377</v>
      </c>
      <c r="H1382" s="124"/>
      <c r="I1382" s="122" t="s">
        <v>5378</v>
      </c>
      <c r="J1382" s="122" t="s">
        <v>5378</v>
      </c>
      <c r="K1382" s="125"/>
      <c r="L1382" s="125"/>
    </row>
    <row r="1383">
      <c r="A1383" s="119"/>
      <c r="B1383" s="119" t="s">
        <v>5374</v>
      </c>
      <c r="C1383" s="121" t="s">
        <v>5379</v>
      </c>
      <c r="D1383" s="121" t="s">
        <v>26</v>
      </c>
      <c r="E1383" s="122" t="s">
        <v>5380</v>
      </c>
      <c r="F1383" s="123">
        <f t="shared" si="72"/>
        <v>2</v>
      </c>
      <c r="G1383" s="121" t="s">
        <v>5381</v>
      </c>
      <c r="H1383" s="124"/>
      <c r="I1383" s="122" t="s">
        <v>5382</v>
      </c>
      <c r="J1383" s="122" t="s">
        <v>5382</v>
      </c>
      <c r="K1383" s="125"/>
      <c r="L1383" s="125"/>
    </row>
    <row r="1384">
      <c r="A1384" s="119"/>
      <c r="B1384" s="119" t="s">
        <v>5374</v>
      </c>
      <c r="C1384" s="121" t="s">
        <v>5383</v>
      </c>
      <c r="D1384" s="121" t="s">
        <v>26</v>
      </c>
      <c r="E1384" s="122" t="s">
        <v>5384</v>
      </c>
      <c r="F1384" s="123">
        <f t="shared" si="72"/>
        <v>2</v>
      </c>
      <c r="G1384" s="121" t="s">
        <v>5385</v>
      </c>
      <c r="H1384" s="124"/>
      <c r="I1384" s="122" t="s">
        <v>5386</v>
      </c>
      <c r="J1384" s="122" t="s">
        <v>5386</v>
      </c>
      <c r="K1384" s="125"/>
      <c r="L1384" s="125"/>
    </row>
    <row r="1385">
      <c r="A1385" s="119"/>
      <c r="B1385" s="119" t="s">
        <v>5374</v>
      </c>
      <c r="C1385" s="121" t="s">
        <v>5387</v>
      </c>
      <c r="D1385" s="121" t="s">
        <v>40</v>
      </c>
      <c r="E1385" s="122" t="s">
        <v>5388</v>
      </c>
      <c r="F1385" s="123">
        <f t="shared" si="72"/>
        <v>2</v>
      </c>
      <c r="G1385" s="121" t="s">
        <v>5389</v>
      </c>
      <c r="H1385" s="124"/>
      <c r="I1385" s="122" t="s">
        <v>5390</v>
      </c>
      <c r="J1385" s="122" t="s">
        <v>5390</v>
      </c>
      <c r="K1385" s="125"/>
      <c r="L1385" s="125"/>
    </row>
    <row r="1386">
      <c r="A1386" s="119"/>
      <c r="B1386" s="119" t="s">
        <v>5374</v>
      </c>
      <c r="C1386" s="121" t="s">
        <v>5391</v>
      </c>
      <c r="D1386" s="121" t="s">
        <v>31</v>
      </c>
      <c r="E1386" s="122" t="s">
        <v>5392</v>
      </c>
      <c r="F1386" s="123">
        <f t="shared" si="72"/>
        <v>2</v>
      </c>
      <c r="G1386" s="121" t="s">
        <v>5393</v>
      </c>
      <c r="H1386" s="124"/>
      <c r="I1386" s="122" t="s">
        <v>5394</v>
      </c>
      <c r="J1386" s="122" t="s">
        <v>5394</v>
      </c>
      <c r="K1386" s="125"/>
      <c r="L1386" s="125"/>
    </row>
    <row r="1387">
      <c r="A1387" s="119"/>
      <c r="B1387" s="119" t="s">
        <v>5374</v>
      </c>
      <c r="C1387" s="121" t="s">
        <v>5395</v>
      </c>
      <c r="D1387" s="121" t="s">
        <v>26</v>
      </c>
      <c r="E1387" s="122" t="s">
        <v>5396</v>
      </c>
      <c r="F1387" s="123">
        <f t="shared" si="72"/>
        <v>2</v>
      </c>
      <c r="G1387" s="121" t="s">
        <v>5397</v>
      </c>
      <c r="H1387" s="124"/>
      <c r="I1387" s="122" t="s">
        <v>5398</v>
      </c>
      <c r="J1387" s="122" t="s">
        <v>5398</v>
      </c>
      <c r="K1387" s="125"/>
      <c r="L1387" s="125"/>
    </row>
    <row r="1388">
      <c r="A1388" s="119"/>
      <c r="B1388" s="119" t="s">
        <v>5374</v>
      </c>
      <c r="C1388" s="121" t="s">
        <v>5399</v>
      </c>
      <c r="D1388" s="121" t="s">
        <v>40</v>
      </c>
      <c r="E1388" s="122" t="s">
        <v>5400</v>
      </c>
      <c r="F1388" s="123">
        <f t="shared" si="72"/>
        <v>2</v>
      </c>
      <c r="G1388" s="121" t="s">
        <v>5401</v>
      </c>
      <c r="H1388" s="124"/>
      <c r="I1388" s="122" t="s">
        <v>5402</v>
      </c>
      <c r="J1388" s="122" t="s">
        <v>5402</v>
      </c>
      <c r="K1388" s="125"/>
      <c r="L1388" s="125"/>
    </row>
    <row r="1389">
      <c r="A1389" s="119"/>
      <c r="B1389" s="119" t="s">
        <v>5374</v>
      </c>
      <c r="C1389" s="121" t="s">
        <v>5403</v>
      </c>
      <c r="D1389" s="121" t="s">
        <v>26</v>
      </c>
      <c r="E1389" s="122" t="s">
        <v>5404</v>
      </c>
      <c r="F1389" s="123">
        <f t="shared" si="72"/>
        <v>2</v>
      </c>
      <c r="G1389" s="121" t="s">
        <v>5405</v>
      </c>
      <c r="H1389" s="124"/>
      <c r="I1389" s="122" t="s">
        <v>5406</v>
      </c>
      <c r="J1389" s="122" t="s">
        <v>5406</v>
      </c>
      <c r="K1389" s="125"/>
      <c r="L1389" s="125"/>
    </row>
    <row r="1390">
      <c r="A1390" s="119"/>
      <c r="B1390" s="119" t="s">
        <v>5374</v>
      </c>
      <c r="C1390" s="121" t="s">
        <v>5407</v>
      </c>
      <c r="D1390" s="121" t="s">
        <v>31</v>
      </c>
      <c r="E1390" s="122" t="s">
        <v>5408</v>
      </c>
      <c r="F1390" s="123">
        <f t="shared" si="72"/>
        <v>2</v>
      </c>
      <c r="G1390" s="121" t="s">
        <v>5409</v>
      </c>
      <c r="H1390" s="124"/>
      <c r="I1390" s="122" t="s">
        <v>5410</v>
      </c>
      <c r="J1390" s="122" t="s">
        <v>5410</v>
      </c>
      <c r="K1390" s="125"/>
      <c r="L1390" s="125"/>
    </row>
    <row r="1391">
      <c r="A1391" s="119"/>
      <c r="B1391" s="119" t="s">
        <v>5374</v>
      </c>
      <c r="C1391" s="121" t="s">
        <v>5411</v>
      </c>
      <c r="D1391" s="121" t="s">
        <v>40</v>
      </c>
      <c r="E1391" s="122" t="s">
        <v>5412</v>
      </c>
      <c r="F1391" s="123">
        <f t="shared" si="72"/>
        <v>2</v>
      </c>
      <c r="G1391" s="121" t="s">
        <v>5413</v>
      </c>
      <c r="H1391" s="124"/>
      <c r="I1391" s="122" t="s">
        <v>5414</v>
      </c>
      <c r="J1391" s="122" t="s">
        <v>5414</v>
      </c>
      <c r="K1391" s="125"/>
      <c r="L1391" s="125"/>
    </row>
    <row r="1392">
      <c r="A1392" s="119"/>
      <c r="B1392" s="119" t="s">
        <v>5374</v>
      </c>
      <c r="C1392" s="121" t="s">
        <v>5415</v>
      </c>
      <c r="D1392" s="121" t="s">
        <v>26</v>
      </c>
      <c r="E1392" s="122" t="s">
        <v>5416</v>
      </c>
      <c r="F1392" s="123">
        <f t="shared" si="72"/>
        <v>2</v>
      </c>
      <c r="G1392" s="121" t="s">
        <v>5417</v>
      </c>
      <c r="H1392" s="124"/>
      <c r="I1392" s="122" t="s">
        <v>5418</v>
      </c>
      <c r="J1392" s="122" t="s">
        <v>5418</v>
      </c>
      <c r="K1392" s="125"/>
      <c r="L1392" s="125"/>
    </row>
    <row r="1393">
      <c r="A1393" s="119"/>
      <c r="B1393" s="119" t="s">
        <v>5374</v>
      </c>
      <c r="C1393" s="121" t="s">
        <v>5419</v>
      </c>
      <c r="D1393" s="121" t="s">
        <v>31</v>
      </c>
      <c r="E1393" s="122" t="s">
        <v>5420</v>
      </c>
      <c r="F1393" s="123">
        <f t="shared" si="72"/>
        <v>2</v>
      </c>
      <c r="G1393" s="121" t="s">
        <v>5421</v>
      </c>
      <c r="H1393" s="124"/>
      <c r="I1393" s="122" t="s">
        <v>5422</v>
      </c>
      <c r="J1393" s="122" t="s">
        <v>5422</v>
      </c>
      <c r="K1393" s="125"/>
      <c r="L1393" s="125"/>
    </row>
    <row r="1394">
      <c r="A1394" s="119"/>
      <c r="B1394" s="119" t="s">
        <v>5374</v>
      </c>
      <c r="C1394" s="121" t="s">
        <v>5423</v>
      </c>
      <c r="D1394" s="121" t="s">
        <v>5424</v>
      </c>
      <c r="E1394" s="122" t="s">
        <v>5425</v>
      </c>
      <c r="F1394" s="123">
        <f t="shared" si="72"/>
        <v>2</v>
      </c>
      <c r="G1394" s="121" t="s">
        <v>5426</v>
      </c>
      <c r="H1394" s="124"/>
      <c r="I1394" s="122" t="s">
        <v>5427</v>
      </c>
      <c r="J1394" s="122" t="s">
        <v>5427</v>
      </c>
      <c r="K1394" s="125"/>
      <c r="L1394" s="125"/>
    </row>
    <row r="1395">
      <c r="A1395" s="119"/>
      <c r="B1395" s="119" t="s">
        <v>5374</v>
      </c>
      <c r="C1395" s="121" t="s">
        <v>5428</v>
      </c>
      <c r="D1395" s="121" t="s">
        <v>40</v>
      </c>
      <c r="E1395" s="122" t="s">
        <v>5429</v>
      </c>
      <c r="F1395" s="123">
        <f t="shared" si="72"/>
        <v>2</v>
      </c>
      <c r="G1395" s="121" t="s">
        <v>5430</v>
      </c>
      <c r="H1395" s="124"/>
      <c r="I1395" s="122" t="s">
        <v>5431</v>
      </c>
      <c r="J1395" s="122" t="s">
        <v>5431</v>
      </c>
      <c r="K1395" s="125"/>
      <c r="L1395" s="125"/>
    </row>
    <row r="1396">
      <c r="A1396" s="119"/>
      <c r="B1396" s="119" t="s">
        <v>5374</v>
      </c>
      <c r="C1396" s="121" t="s">
        <v>5432</v>
      </c>
      <c r="D1396" s="121" t="s">
        <v>31</v>
      </c>
      <c r="E1396" s="122" t="s">
        <v>5433</v>
      </c>
      <c r="F1396" s="123">
        <f t="shared" si="72"/>
        <v>2</v>
      </c>
      <c r="G1396" s="121" t="s">
        <v>5434</v>
      </c>
      <c r="H1396" s="124"/>
      <c r="I1396" s="122" t="s">
        <v>5435</v>
      </c>
      <c r="J1396" s="122" t="s">
        <v>5435</v>
      </c>
      <c r="K1396" s="125"/>
      <c r="L1396" s="125"/>
    </row>
    <row r="1397">
      <c r="A1397" s="119"/>
      <c r="B1397" s="119" t="s">
        <v>5374</v>
      </c>
      <c r="C1397" s="121" t="s">
        <v>5436</v>
      </c>
      <c r="D1397" s="121" t="s">
        <v>40</v>
      </c>
      <c r="E1397" s="122" t="s">
        <v>5437</v>
      </c>
      <c r="F1397" s="123">
        <f t="shared" si="72"/>
        <v>2</v>
      </c>
      <c r="G1397" s="121" t="s">
        <v>5438</v>
      </c>
      <c r="H1397" s="124"/>
      <c r="I1397" s="122" t="s">
        <v>5439</v>
      </c>
      <c r="J1397" s="122" t="s">
        <v>5439</v>
      </c>
      <c r="K1397" s="125"/>
      <c r="L1397" s="125"/>
    </row>
    <row r="1398">
      <c r="A1398" s="119"/>
      <c r="B1398" s="119" t="s">
        <v>5374</v>
      </c>
      <c r="C1398" s="121" t="s">
        <v>5440</v>
      </c>
      <c r="D1398" s="121" t="s">
        <v>40</v>
      </c>
      <c r="E1398" s="122" t="s">
        <v>5441</v>
      </c>
      <c r="F1398" s="123">
        <f t="shared" si="72"/>
        <v>2</v>
      </c>
      <c r="G1398" s="121" t="s">
        <v>5442</v>
      </c>
      <c r="H1398" s="124"/>
      <c r="I1398" s="122" t="s">
        <v>5443</v>
      </c>
      <c r="J1398" s="122" t="s">
        <v>5443</v>
      </c>
      <c r="K1398" s="125"/>
      <c r="L1398" s="125"/>
    </row>
    <row r="1399">
      <c r="A1399" s="119"/>
      <c r="B1399" s="119" t="s">
        <v>5374</v>
      </c>
      <c r="C1399" s="121" t="s">
        <v>5444</v>
      </c>
      <c r="D1399" s="121" t="s">
        <v>40</v>
      </c>
      <c r="E1399" s="122" t="s">
        <v>5445</v>
      </c>
      <c r="F1399" s="123">
        <f t="shared" si="72"/>
        <v>2</v>
      </c>
      <c r="G1399" s="121" t="s">
        <v>5446</v>
      </c>
      <c r="H1399" s="124"/>
      <c r="I1399" s="122" t="s">
        <v>5447</v>
      </c>
      <c r="J1399" s="122" t="s">
        <v>5447</v>
      </c>
      <c r="K1399" s="125"/>
      <c r="L1399" s="125"/>
    </row>
    <row r="1400">
      <c r="A1400" s="119"/>
      <c r="B1400" s="119" t="s">
        <v>5374</v>
      </c>
      <c r="C1400" s="121" t="s">
        <v>5448</v>
      </c>
      <c r="D1400" s="121" t="s">
        <v>40</v>
      </c>
      <c r="E1400" s="122" t="s">
        <v>5449</v>
      </c>
      <c r="F1400" s="123">
        <f t="shared" si="72"/>
        <v>2</v>
      </c>
      <c r="G1400" s="121" t="s">
        <v>5450</v>
      </c>
      <c r="H1400" s="124"/>
      <c r="I1400" s="122" t="s">
        <v>5451</v>
      </c>
      <c r="J1400" s="122" t="s">
        <v>5451</v>
      </c>
      <c r="K1400" s="125"/>
      <c r="L1400" s="125"/>
    </row>
    <row r="1401">
      <c r="A1401" s="119"/>
      <c r="B1401" s="119" t="s">
        <v>5374</v>
      </c>
      <c r="C1401" s="121" t="s">
        <v>5452</v>
      </c>
      <c r="D1401" s="121" t="s">
        <v>40</v>
      </c>
      <c r="E1401" s="122" t="s">
        <v>5453</v>
      </c>
      <c r="F1401" s="123">
        <f t="shared" si="72"/>
        <v>2</v>
      </c>
      <c r="G1401" s="121" t="s">
        <v>5454</v>
      </c>
      <c r="H1401" s="124"/>
      <c r="I1401" s="122" t="s">
        <v>5455</v>
      </c>
      <c r="J1401" s="122" t="s">
        <v>5455</v>
      </c>
      <c r="K1401" s="125"/>
      <c r="L1401" s="125"/>
    </row>
    <row r="1402">
      <c r="A1402" s="119"/>
      <c r="B1402" s="119" t="s">
        <v>5374</v>
      </c>
      <c r="C1402" s="121" t="s">
        <v>5456</v>
      </c>
      <c r="D1402" s="121" t="s">
        <v>40</v>
      </c>
      <c r="E1402" s="122" t="s">
        <v>5457</v>
      </c>
      <c r="F1402" s="123">
        <f t="shared" si="72"/>
        <v>2</v>
      </c>
      <c r="G1402" s="121" t="s">
        <v>5458</v>
      </c>
      <c r="H1402" s="124"/>
      <c r="I1402" s="122" t="s">
        <v>5459</v>
      </c>
      <c r="J1402" s="122" t="s">
        <v>5459</v>
      </c>
      <c r="K1402" s="125"/>
      <c r="L1402" s="125"/>
    </row>
    <row r="1403">
      <c r="A1403" s="119"/>
      <c r="B1403" s="119" t="s">
        <v>5374</v>
      </c>
      <c r="C1403" s="121" t="s">
        <v>5460</v>
      </c>
      <c r="D1403" s="121" t="s">
        <v>40</v>
      </c>
      <c r="E1403" s="122" t="s">
        <v>5461</v>
      </c>
      <c r="F1403" s="123">
        <f t="shared" si="72"/>
        <v>2</v>
      </c>
      <c r="G1403" s="121" t="s">
        <v>5462</v>
      </c>
      <c r="H1403" s="124"/>
      <c r="I1403" s="122" t="s">
        <v>5463</v>
      </c>
      <c r="J1403" s="122" t="s">
        <v>5463</v>
      </c>
      <c r="K1403" s="125"/>
      <c r="L1403" s="125"/>
    </row>
    <row r="1404">
      <c r="A1404" s="119"/>
      <c r="B1404" s="119" t="s">
        <v>5374</v>
      </c>
      <c r="C1404" s="121" t="s">
        <v>5464</v>
      </c>
      <c r="D1404" s="121" t="s">
        <v>40</v>
      </c>
      <c r="E1404" s="122" t="s">
        <v>5465</v>
      </c>
      <c r="F1404" s="123">
        <f t="shared" si="72"/>
        <v>2</v>
      </c>
      <c r="G1404" s="121" t="s">
        <v>5466</v>
      </c>
      <c r="H1404" s="124"/>
      <c r="I1404" s="122" t="s">
        <v>5467</v>
      </c>
      <c r="J1404" s="122" t="s">
        <v>5467</v>
      </c>
      <c r="K1404" s="125"/>
      <c r="L1404" s="125"/>
    </row>
    <row r="1405">
      <c r="A1405" s="119"/>
      <c r="B1405" s="119" t="s">
        <v>5374</v>
      </c>
      <c r="C1405" s="121" t="s">
        <v>5468</v>
      </c>
      <c r="D1405" s="121" t="s">
        <v>31</v>
      </c>
      <c r="E1405" s="122" t="s">
        <v>5469</v>
      </c>
      <c r="F1405" s="123">
        <f t="shared" si="72"/>
        <v>2</v>
      </c>
      <c r="G1405" s="121" t="s">
        <v>5470</v>
      </c>
      <c r="H1405" s="124"/>
      <c r="I1405" s="122" t="s">
        <v>5471</v>
      </c>
      <c r="J1405" s="122" t="s">
        <v>5471</v>
      </c>
      <c r="K1405" s="125"/>
      <c r="L1405" s="125"/>
    </row>
    <row r="1406">
      <c r="A1406" s="119"/>
      <c r="B1406" s="119" t="s">
        <v>5374</v>
      </c>
      <c r="C1406" s="121" t="s">
        <v>5472</v>
      </c>
      <c r="D1406" s="121" t="s">
        <v>40</v>
      </c>
      <c r="E1406" s="122" t="s">
        <v>5473</v>
      </c>
      <c r="F1406" s="123">
        <f t="shared" si="72"/>
        <v>2</v>
      </c>
      <c r="G1406" s="121" t="s">
        <v>5474</v>
      </c>
      <c r="H1406" s="124"/>
      <c r="I1406" s="122" t="s">
        <v>5475</v>
      </c>
      <c r="J1406" s="122" t="s">
        <v>5475</v>
      </c>
      <c r="K1406" s="125"/>
      <c r="L1406" s="125"/>
    </row>
    <row r="1407">
      <c r="A1407" s="119"/>
      <c r="B1407" s="119" t="s">
        <v>5374</v>
      </c>
      <c r="C1407" s="121" t="s">
        <v>5476</v>
      </c>
      <c r="D1407" s="121" t="s">
        <v>40</v>
      </c>
      <c r="E1407" s="122" t="s">
        <v>5477</v>
      </c>
      <c r="F1407" s="123">
        <f t="shared" si="72"/>
        <v>2</v>
      </c>
      <c r="G1407" s="121" t="s">
        <v>5478</v>
      </c>
      <c r="H1407" s="124"/>
      <c r="I1407" s="122" t="s">
        <v>5479</v>
      </c>
      <c r="J1407" s="122" t="s">
        <v>5479</v>
      </c>
      <c r="K1407" s="125"/>
      <c r="L1407" s="125"/>
    </row>
    <row r="1408">
      <c r="A1408" s="119"/>
      <c r="B1408" s="119" t="s">
        <v>5374</v>
      </c>
      <c r="C1408" s="121" t="s">
        <v>5480</v>
      </c>
      <c r="D1408" s="121" t="s">
        <v>40</v>
      </c>
      <c r="E1408" s="122" t="s">
        <v>5481</v>
      </c>
      <c r="F1408" s="123">
        <f t="shared" si="72"/>
        <v>2</v>
      </c>
      <c r="G1408" s="121" t="s">
        <v>5482</v>
      </c>
      <c r="H1408" s="124"/>
      <c r="I1408" s="122" t="s">
        <v>5483</v>
      </c>
      <c r="J1408" s="122" t="s">
        <v>5483</v>
      </c>
      <c r="K1408" s="125"/>
      <c r="L1408" s="125"/>
    </row>
    <row r="1409">
      <c r="A1409" s="119"/>
      <c r="B1409" s="119" t="s">
        <v>5374</v>
      </c>
      <c r="C1409" s="121" t="s">
        <v>5484</v>
      </c>
      <c r="D1409" s="121" t="s">
        <v>40</v>
      </c>
      <c r="E1409" s="122" t="s">
        <v>5485</v>
      </c>
      <c r="F1409" s="123">
        <f t="shared" si="72"/>
        <v>2</v>
      </c>
      <c r="G1409" s="121" t="s">
        <v>5486</v>
      </c>
      <c r="H1409" s="124"/>
      <c r="I1409" s="122" t="s">
        <v>5487</v>
      </c>
      <c r="J1409" s="122" t="s">
        <v>5487</v>
      </c>
      <c r="K1409" s="125"/>
      <c r="L1409" s="125"/>
    </row>
    <row r="1410">
      <c r="A1410" s="119"/>
      <c r="B1410" s="119" t="s">
        <v>5374</v>
      </c>
      <c r="C1410" s="121" t="s">
        <v>5488</v>
      </c>
      <c r="D1410" s="121" t="s">
        <v>40</v>
      </c>
      <c r="E1410" s="122" t="s">
        <v>5489</v>
      </c>
      <c r="F1410" s="123">
        <f t="shared" si="72"/>
        <v>2</v>
      </c>
      <c r="G1410" s="121" t="s">
        <v>5490</v>
      </c>
      <c r="H1410" s="124"/>
      <c r="I1410" s="122" t="s">
        <v>5491</v>
      </c>
      <c r="J1410" s="122" t="s">
        <v>5491</v>
      </c>
      <c r="K1410" s="125"/>
      <c r="L1410" s="125"/>
    </row>
    <row r="1411">
      <c r="A1411" s="119"/>
      <c r="B1411" s="119" t="s">
        <v>5374</v>
      </c>
      <c r="C1411" s="121" t="s">
        <v>5492</v>
      </c>
      <c r="D1411" s="121" t="s">
        <v>40</v>
      </c>
      <c r="E1411" s="122" t="s">
        <v>5493</v>
      </c>
      <c r="F1411" s="123">
        <f t="shared" si="72"/>
        <v>2</v>
      </c>
      <c r="G1411" s="121" t="s">
        <v>5494</v>
      </c>
      <c r="H1411" s="124"/>
      <c r="I1411" s="122" t="s">
        <v>5495</v>
      </c>
      <c r="J1411" s="122" t="s">
        <v>5495</v>
      </c>
      <c r="K1411" s="125"/>
      <c r="L1411" s="125"/>
    </row>
    <row r="1412">
      <c r="A1412" s="119"/>
      <c r="B1412" s="119" t="s">
        <v>5374</v>
      </c>
      <c r="C1412" s="121" t="s">
        <v>5496</v>
      </c>
      <c r="D1412" s="121" t="s">
        <v>40</v>
      </c>
      <c r="E1412" s="122" t="s">
        <v>5497</v>
      </c>
      <c r="F1412" s="123">
        <f t="shared" si="72"/>
        <v>2</v>
      </c>
      <c r="G1412" s="121" t="s">
        <v>5498</v>
      </c>
      <c r="H1412" s="124"/>
      <c r="I1412" s="122" t="s">
        <v>5499</v>
      </c>
      <c r="J1412" s="122" t="s">
        <v>5499</v>
      </c>
      <c r="K1412" s="125"/>
      <c r="L1412" s="125"/>
    </row>
    <row r="1413">
      <c r="A1413" s="119"/>
      <c r="B1413" s="119" t="s">
        <v>5374</v>
      </c>
      <c r="C1413" s="121" t="s">
        <v>5500</v>
      </c>
      <c r="D1413" s="121" t="s">
        <v>40</v>
      </c>
      <c r="E1413" s="122" t="s">
        <v>5501</v>
      </c>
      <c r="F1413" s="123">
        <f t="shared" si="72"/>
        <v>2</v>
      </c>
      <c r="G1413" s="121" t="s">
        <v>5502</v>
      </c>
      <c r="H1413" s="124"/>
      <c r="I1413" s="122" t="s">
        <v>5503</v>
      </c>
      <c r="J1413" s="122" t="s">
        <v>5503</v>
      </c>
      <c r="K1413" s="125"/>
      <c r="L1413" s="125"/>
    </row>
    <row r="1414">
      <c r="A1414" s="119"/>
      <c r="B1414" s="119" t="s">
        <v>5374</v>
      </c>
      <c r="C1414" s="121" t="s">
        <v>5504</v>
      </c>
      <c r="D1414" s="121" t="s">
        <v>40</v>
      </c>
      <c r="E1414" s="122" t="s">
        <v>5505</v>
      </c>
      <c r="F1414" s="123">
        <f t="shared" si="72"/>
        <v>2</v>
      </c>
      <c r="G1414" s="121" t="s">
        <v>5506</v>
      </c>
      <c r="H1414" s="124"/>
      <c r="I1414" s="122" t="s">
        <v>5507</v>
      </c>
      <c r="J1414" s="122" t="s">
        <v>5507</v>
      </c>
      <c r="K1414" s="125"/>
      <c r="L1414" s="125"/>
    </row>
    <row r="1415">
      <c r="A1415" s="119"/>
      <c r="B1415" s="119" t="s">
        <v>5374</v>
      </c>
      <c r="C1415" s="121" t="s">
        <v>5508</v>
      </c>
      <c r="D1415" s="121" t="s">
        <v>40</v>
      </c>
      <c r="E1415" s="122" t="s">
        <v>5509</v>
      </c>
      <c r="F1415" s="123">
        <f t="shared" si="72"/>
        <v>2</v>
      </c>
      <c r="G1415" s="121" t="s">
        <v>5510</v>
      </c>
      <c r="H1415" s="124"/>
      <c r="I1415" s="122" t="s">
        <v>5511</v>
      </c>
      <c r="J1415" s="122" t="s">
        <v>5511</v>
      </c>
      <c r="K1415" s="125"/>
      <c r="L1415" s="125"/>
    </row>
    <row r="1416">
      <c r="A1416" s="119"/>
      <c r="B1416" s="119" t="s">
        <v>5374</v>
      </c>
      <c r="C1416" s="121" t="s">
        <v>5512</v>
      </c>
      <c r="D1416" s="121" t="s">
        <v>16</v>
      </c>
      <c r="E1416" s="122" t="s">
        <v>5513</v>
      </c>
      <c r="F1416" s="123">
        <f t="shared" si="72"/>
        <v>2</v>
      </c>
      <c r="G1416" s="121" t="s">
        <v>5514</v>
      </c>
      <c r="H1416" s="124"/>
      <c r="I1416" s="122" t="s">
        <v>5515</v>
      </c>
      <c r="J1416" s="122" t="s">
        <v>5515</v>
      </c>
      <c r="K1416" s="125"/>
      <c r="L1416" s="125"/>
    </row>
    <row r="1417">
      <c r="A1417" s="119"/>
      <c r="B1417" s="119" t="s">
        <v>5374</v>
      </c>
      <c r="C1417" s="121" t="s">
        <v>5516</v>
      </c>
      <c r="D1417" s="121" t="s">
        <v>40</v>
      </c>
      <c r="E1417" s="122" t="s">
        <v>5517</v>
      </c>
      <c r="F1417" s="123">
        <f t="shared" si="72"/>
        <v>2</v>
      </c>
      <c r="G1417" s="121" t="s">
        <v>5518</v>
      </c>
      <c r="H1417" s="124"/>
      <c r="I1417" s="122" t="s">
        <v>5519</v>
      </c>
      <c r="J1417" s="122" t="s">
        <v>5519</v>
      </c>
      <c r="K1417" s="125"/>
      <c r="L1417" s="125"/>
    </row>
    <row r="1418">
      <c r="A1418" s="119"/>
      <c r="B1418" s="119" t="s">
        <v>5374</v>
      </c>
      <c r="C1418" s="121" t="s">
        <v>5520</v>
      </c>
      <c r="D1418" s="121" t="s">
        <v>16</v>
      </c>
      <c r="E1418" s="122" t="s">
        <v>5521</v>
      </c>
      <c r="F1418" s="123">
        <f t="shared" si="72"/>
        <v>2</v>
      </c>
      <c r="G1418" s="121" t="s">
        <v>5522</v>
      </c>
      <c r="H1418" s="124"/>
      <c r="I1418" s="122" t="s">
        <v>5523</v>
      </c>
      <c r="J1418" s="122" t="s">
        <v>5523</v>
      </c>
      <c r="K1418" s="125"/>
      <c r="L1418" s="125"/>
    </row>
    <row r="1419">
      <c r="A1419" s="119"/>
      <c r="B1419" s="119" t="s">
        <v>5374</v>
      </c>
      <c r="C1419" s="121" t="s">
        <v>5524</v>
      </c>
      <c r="D1419" s="121" t="s">
        <v>40</v>
      </c>
      <c r="E1419" s="122" t="s">
        <v>5525</v>
      </c>
      <c r="F1419" s="123">
        <f t="shared" si="72"/>
        <v>2</v>
      </c>
      <c r="G1419" s="121" t="s">
        <v>5526</v>
      </c>
      <c r="H1419" s="124"/>
      <c r="I1419" s="122" t="s">
        <v>5527</v>
      </c>
      <c r="J1419" s="122" t="s">
        <v>5527</v>
      </c>
      <c r="K1419" s="125"/>
      <c r="L1419" s="125"/>
    </row>
    <row r="1420">
      <c r="A1420" s="119"/>
      <c r="B1420" s="119" t="s">
        <v>5374</v>
      </c>
      <c r="C1420" s="121" t="s">
        <v>5528</v>
      </c>
      <c r="D1420" s="121" t="s">
        <v>16</v>
      </c>
      <c r="E1420" s="122" t="s">
        <v>5529</v>
      </c>
      <c r="F1420" s="123">
        <f t="shared" si="72"/>
        <v>2</v>
      </c>
      <c r="G1420" s="121" t="s">
        <v>5530</v>
      </c>
      <c r="H1420" s="124"/>
      <c r="I1420" s="122" t="s">
        <v>5531</v>
      </c>
      <c r="J1420" s="122" t="s">
        <v>5531</v>
      </c>
      <c r="K1420" s="125"/>
      <c r="L1420" s="125"/>
    </row>
    <row r="1421">
      <c r="A1421" s="119"/>
      <c r="B1421" s="119" t="s">
        <v>5374</v>
      </c>
      <c r="C1421" s="121" t="s">
        <v>5532</v>
      </c>
      <c r="D1421" s="121" t="s">
        <v>5130</v>
      </c>
      <c r="E1421" s="122" t="s">
        <v>5533</v>
      </c>
      <c r="F1421" s="123">
        <f t="shared" si="72"/>
        <v>1</v>
      </c>
      <c r="G1421" s="121" t="s">
        <v>5534</v>
      </c>
      <c r="H1421" s="124"/>
      <c r="I1421" s="122"/>
      <c r="J1421" s="122" t="s">
        <v>5535</v>
      </c>
      <c r="K1421" s="125"/>
      <c r="L1421" s="125"/>
    </row>
    <row r="1422">
      <c r="A1422" s="33"/>
      <c r="B1422" s="33"/>
      <c r="C1422" s="118"/>
      <c r="D1422" s="118"/>
      <c r="F1422" s="14"/>
      <c r="G1422" s="12" t="s">
        <v>851</v>
      </c>
      <c r="H1422" s="118"/>
    </row>
    <row r="1423">
      <c r="A1423" s="119" t="s">
        <v>4205</v>
      </c>
      <c r="B1423" s="119" t="s">
        <v>5374</v>
      </c>
      <c r="C1423" s="121" t="s">
        <v>5536</v>
      </c>
      <c r="D1423" s="121" t="s">
        <v>5537</v>
      </c>
      <c r="E1423" s="122" t="s">
        <v>5538</v>
      </c>
      <c r="F1423" s="123">
        <f t="shared" ref="F1423:F1439" si="73">counta(I1423:J1423)</f>
        <v>2</v>
      </c>
      <c r="G1423" s="121" t="s">
        <v>5539</v>
      </c>
      <c r="H1423" s="124"/>
      <c r="I1423" s="122" t="s">
        <v>5540</v>
      </c>
      <c r="J1423" s="122" t="s">
        <v>5540</v>
      </c>
      <c r="K1423" s="125"/>
      <c r="L1423" s="125"/>
    </row>
    <row r="1424">
      <c r="A1424" s="119"/>
      <c r="B1424" s="119" t="s">
        <v>5374</v>
      </c>
      <c r="C1424" s="121" t="s">
        <v>5541</v>
      </c>
      <c r="D1424" s="121" t="s">
        <v>5537</v>
      </c>
      <c r="E1424" s="122" t="s">
        <v>5542</v>
      </c>
      <c r="F1424" s="123">
        <f t="shared" si="73"/>
        <v>2</v>
      </c>
      <c r="G1424" s="121" t="s">
        <v>5543</v>
      </c>
      <c r="H1424" s="124"/>
      <c r="I1424" s="122" t="s">
        <v>5544</v>
      </c>
      <c r="J1424" s="122" t="s">
        <v>5544</v>
      </c>
      <c r="K1424" s="125"/>
      <c r="L1424" s="125"/>
    </row>
    <row r="1425">
      <c r="A1425" s="119"/>
      <c r="B1425" s="119" t="s">
        <v>5374</v>
      </c>
      <c r="C1425" s="121" t="s">
        <v>5545</v>
      </c>
      <c r="D1425" s="121" t="s">
        <v>5537</v>
      </c>
      <c r="E1425" s="122" t="s">
        <v>5465</v>
      </c>
      <c r="F1425" s="123">
        <f t="shared" si="73"/>
        <v>2</v>
      </c>
      <c r="G1425" s="121" t="s">
        <v>5546</v>
      </c>
      <c r="H1425" s="124"/>
      <c r="I1425" s="122" t="s">
        <v>5547</v>
      </c>
      <c r="J1425" s="122" t="s">
        <v>5547</v>
      </c>
      <c r="K1425" s="125"/>
      <c r="L1425" s="125"/>
    </row>
    <row r="1426">
      <c r="A1426" s="119"/>
      <c r="B1426" s="119" t="s">
        <v>5374</v>
      </c>
      <c r="C1426" s="121" t="s">
        <v>5548</v>
      </c>
      <c r="D1426" s="121" t="s">
        <v>5537</v>
      </c>
      <c r="E1426" s="122" t="s">
        <v>5481</v>
      </c>
      <c r="F1426" s="123">
        <f t="shared" si="73"/>
        <v>2</v>
      </c>
      <c r="G1426" s="121" t="s">
        <v>5549</v>
      </c>
      <c r="H1426" s="124"/>
      <c r="I1426" s="122" t="s">
        <v>5550</v>
      </c>
      <c r="J1426" s="122" t="s">
        <v>5550</v>
      </c>
      <c r="K1426" s="125"/>
      <c r="L1426" s="125"/>
    </row>
    <row r="1427">
      <c r="A1427" s="119"/>
      <c r="B1427" s="119" t="s">
        <v>5374</v>
      </c>
      <c r="C1427" s="121" t="s">
        <v>5551</v>
      </c>
      <c r="D1427" s="121" t="s">
        <v>5537</v>
      </c>
      <c r="E1427" s="122" t="s">
        <v>5485</v>
      </c>
      <c r="F1427" s="123">
        <f t="shared" si="73"/>
        <v>2</v>
      </c>
      <c r="G1427" s="121" t="s">
        <v>5552</v>
      </c>
      <c r="H1427" s="124"/>
      <c r="I1427" s="122" t="s">
        <v>5553</v>
      </c>
      <c r="J1427" s="122" t="s">
        <v>5553</v>
      </c>
      <c r="K1427" s="125"/>
      <c r="L1427" s="125"/>
    </row>
    <row r="1428">
      <c r="A1428" s="119"/>
      <c r="B1428" s="119" t="s">
        <v>5374</v>
      </c>
      <c r="C1428" s="121" t="s">
        <v>5554</v>
      </c>
      <c r="D1428" s="121" t="s">
        <v>5537</v>
      </c>
      <c r="E1428" s="122" t="s">
        <v>5489</v>
      </c>
      <c r="F1428" s="123">
        <f t="shared" si="73"/>
        <v>2</v>
      </c>
      <c r="G1428" s="121" t="s">
        <v>5555</v>
      </c>
      <c r="H1428" s="124"/>
      <c r="I1428" s="122" t="s">
        <v>5556</v>
      </c>
      <c r="J1428" s="122" t="s">
        <v>5556</v>
      </c>
      <c r="K1428" s="125"/>
      <c r="L1428" s="125"/>
    </row>
    <row r="1429">
      <c r="A1429" s="119"/>
      <c r="B1429" s="119" t="s">
        <v>5374</v>
      </c>
      <c r="C1429" s="121" t="s">
        <v>5557</v>
      </c>
      <c r="D1429" s="121" t="s">
        <v>5537</v>
      </c>
      <c r="E1429" s="122" t="s">
        <v>5493</v>
      </c>
      <c r="F1429" s="123">
        <f t="shared" si="73"/>
        <v>2</v>
      </c>
      <c r="G1429" s="121" t="s">
        <v>5558</v>
      </c>
      <c r="H1429" s="124"/>
      <c r="I1429" s="122" t="s">
        <v>5559</v>
      </c>
      <c r="J1429" s="122" t="s">
        <v>5559</v>
      </c>
      <c r="K1429" s="125"/>
      <c r="L1429" s="125"/>
    </row>
    <row r="1430">
      <c r="A1430" s="119"/>
      <c r="B1430" s="119" t="s">
        <v>5374</v>
      </c>
      <c r="C1430" s="121" t="s">
        <v>5560</v>
      </c>
      <c r="D1430" s="121" t="s">
        <v>5537</v>
      </c>
      <c r="E1430" s="122" t="s">
        <v>5497</v>
      </c>
      <c r="F1430" s="123">
        <f t="shared" si="73"/>
        <v>2</v>
      </c>
      <c r="G1430" s="121" t="s">
        <v>5561</v>
      </c>
      <c r="H1430" s="124"/>
      <c r="I1430" s="122" t="s">
        <v>5562</v>
      </c>
      <c r="J1430" s="122" t="s">
        <v>5562</v>
      </c>
      <c r="K1430" s="125"/>
      <c r="L1430" s="125"/>
    </row>
    <row r="1431">
      <c r="A1431" s="119"/>
      <c r="B1431" s="119" t="s">
        <v>5374</v>
      </c>
      <c r="C1431" s="121" t="s">
        <v>5563</v>
      </c>
      <c r="D1431" s="121" t="s">
        <v>5537</v>
      </c>
      <c r="E1431" s="122" t="s">
        <v>5501</v>
      </c>
      <c r="F1431" s="123">
        <f t="shared" si="73"/>
        <v>2</v>
      </c>
      <c r="G1431" s="121" t="s">
        <v>5564</v>
      </c>
      <c r="H1431" s="124"/>
      <c r="I1431" s="122" t="s">
        <v>5565</v>
      </c>
      <c r="J1431" s="122" t="s">
        <v>5565</v>
      </c>
      <c r="K1431" s="125"/>
      <c r="L1431" s="125"/>
    </row>
    <row r="1432">
      <c r="A1432" s="119"/>
      <c r="B1432" s="119" t="s">
        <v>5374</v>
      </c>
      <c r="C1432" s="121" t="s">
        <v>5566</v>
      </c>
      <c r="D1432" s="121" t="s">
        <v>5537</v>
      </c>
      <c r="E1432" s="122" t="s">
        <v>5505</v>
      </c>
      <c r="F1432" s="123">
        <f t="shared" si="73"/>
        <v>2</v>
      </c>
      <c r="G1432" s="121" t="s">
        <v>5567</v>
      </c>
      <c r="H1432" s="124"/>
      <c r="I1432" s="122" t="s">
        <v>5568</v>
      </c>
      <c r="J1432" s="122" t="s">
        <v>5568</v>
      </c>
      <c r="K1432" s="125"/>
      <c r="L1432" s="125"/>
    </row>
    <row r="1433">
      <c r="A1433" s="119"/>
      <c r="B1433" s="119" t="s">
        <v>5374</v>
      </c>
      <c r="C1433" s="121" t="s">
        <v>5569</v>
      </c>
      <c r="D1433" s="121" t="s">
        <v>5537</v>
      </c>
      <c r="E1433" s="122" t="s">
        <v>5509</v>
      </c>
      <c r="F1433" s="123">
        <f t="shared" si="73"/>
        <v>2</v>
      </c>
      <c r="G1433" s="121" t="s">
        <v>5570</v>
      </c>
      <c r="H1433" s="124"/>
      <c r="I1433" s="122" t="s">
        <v>5571</v>
      </c>
      <c r="J1433" s="122" t="s">
        <v>5571</v>
      </c>
      <c r="K1433" s="125"/>
      <c r="L1433" s="125"/>
    </row>
    <row r="1434">
      <c r="A1434" s="119"/>
      <c r="B1434" s="119" t="s">
        <v>5374</v>
      </c>
      <c r="C1434" s="121" t="s">
        <v>5572</v>
      </c>
      <c r="D1434" s="121" t="s">
        <v>16</v>
      </c>
      <c r="E1434" s="122" t="s">
        <v>5513</v>
      </c>
      <c r="F1434" s="123">
        <f t="shared" si="73"/>
        <v>2</v>
      </c>
      <c r="G1434" s="121" t="s">
        <v>5573</v>
      </c>
      <c r="H1434" s="124"/>
      <c r="I1434" s="122" t="s">
        <v>5574</v>
      </c>
      <c r="J1434" s="122" t="s">
        <v>5574</v>
      </c>
      <c r="K1434" s="125"/>
      <c r="L1434" s="125"/>
    </row>
    <row r="1435">
      <c r="A1435" s="119"/>
      <c r="B1435" s="119" t="s">
        <v>5374</v>
      </c>
      <c r="C1435" s="121" t="s">
        <v>5575</v>
      </c>
      <c r="D1435" s="121" t="s">
        <v>5537</v>
      </c>
      <c r="E1435" s="122" t="s">
        <v>5517</v>
      </c>
      <c r="F1435" s="123">
        <f t="shared" si="73"/>
        <v>2</v>
      </c>
      <c r="G1435" s="121" t="s">
        <v>5576</v>
      </c>
      <c r="H1435" s="124"/>
      <c r="I1435" s="122" t="s">
        <v>5577</v>
      </c>
      <c r="J1435" s="122" t="s">
        <v>5577</v>
      </c>
      <c r="K1435" s="125"/>
      <c r="L1435" s="125"/>
    </row>
    <row r="1436">
      <c r="A1436" s="119"/>
      <c r="B1436" s="119" t="s">
        <v>5374</v>
      </c>
      <c r="C1436" s="121" t="s">
        <v>5578</v>
      </c>
      <c r="D1436" s="121" t="s">
        <v>16</v>
      </c>
      <c r="E1436" s="122" t="s">
        <v>5521</v>
      </c>
      <c r="F1436" s="123">
        <f t="shared" si="73"/>
        <v>2</v>
      </c>
      <c r="G1436" s="121" t="s">
        <v>5579</v>
      </c>
      <c r="H1436" s="124"/>
      <c r="I1436" s="122" t="s">
        <v>5580</v>
      </c>
      <c r="J1436" s="122" t="s">
        <v>5580</v>
      </c>
      <c r="K1436" s="125"/>
      <c r="L1436" s="125"/>
    </row>
    <row r="1437">
      <c r="A1437" s="119"/>
      <c r="B1437" s="119" t="s">
        <v>5374</v>
      </c>
      <c r="C1437" s="121" t="s">
        <v>5581</v>
      </c>
      <c r="D1437" s="121" t="s">
        <v>5537</v>
      </c>
      <c r="E1437" s="122" t="s">
        <v>5525</v>
      </c>
      <c r="F1437" s="123">
        <f t="shared" si="73"/>
        <v>2</v>
      </c>
      <c r="G1437" s="121" t="s">
        <v>5582</v>
      </c>
      <c r="H1437" s="124"/>
      <c r="I1437" s="122" t="s">
        <v>5583</v>
      </c>
      <c r="J1437" s="122" t="s">
        <v>5583</v>
      </c>
      <c r="K1437" s="125"/>
      <c r="L1437" s="125"/>
    </row>
    <row r="1438">
      <c r="A1438" s="119"/>
      <c r="B1438" s="119" t="s">
        <v>5374</v>
      </c>
      <c r="C1438" s="121" t="s">
        <v>5584</v>
      </c>
      <c r="D1438" s="121" t="s">
        <v>16</v>
      </c>
      <c r="E1438" s="122" t="s">
        <v>5529</v>
      </c>
      <c r="F1438" s="123">
        <f t="shared" si="73"/>
        <v>2</v>
      </c>
      <c r="G1438" s="121" t="s">
        <v>5585</v>
      </c>
      <c r="H1438" s="124"/>
      <c r="I1438" s="122" t="s">
        <v>5586</v>
      </c>
      <c r="J1438" s="122" t="s">
        <v>5586</v>
      </c>
      <c r="K1438" s="125"/>
      <c r="L1438" s="125"/>
    </row>
    <row r="1439">
      <c r="A1439" s="119"/>
      <c r="B1439" s="119" t="s">
        <v>5374</v>
      </c>
      <c r="C1439" s="121" t="s">
        <v>5587</v>
      </c>
      <c r="D1439" s="121" t="s">
        <v>5130</v>
      </c>
      <c r="E1439" s="122" t="s">
        <v>5588</v>
      </c>
      <c r="F1439" s="123">
        <f t="shared" si="73"/>
        <v>1</v>
      </c>
      <c r="G1439" s="121" t="s">
        <v>5589</v>
      </c>
      <c r="H1439" s="124"/>
      <c r="I1439" s="125"/>
      <c r="J1439" s="122" t="s">
        <v>5590</v>
      </c>
      <c r="K1439" s="125"/>
      <c r="L1439" s="125"/>
    </row>
    <row r="1440">
      <c r="A1440" s="33"/>
      <c r="B1440" s="33"/>
      <c r="C1440" s="118"/>
      <c r="D1440" s="118"/>
      <c r="F1440" s="14"/>
      <c r="G1440" s="12" t="s">
        <v>851</v>
      </c>
      <c r="H1440" s="118"/>
    </row>
    <row r="1441">
      <c r="A1441" s="129" t="s">
        <v>5591</v>
      </c>
      <c r="B1441" s="130" t="s">
        <v>11</v>
      </c>
      <c r="C1441" s="131" t="s">
        <v>12</v>
      </c>
      <c r="D1441" s="131" t="s">
        <v>12</v>
      </c>
      <c r="E1441" s="132" t="s">
        <v>4213</v>
      </c>
      <c r="F1441" s="133">
        <f t="shared" ref="F1441:F1444" si="74">counta(I1441:J1441)</f>
        <v>2</v>
      </c>
      <c r="G1441" s="131" t="s">
        <v>12</v>
      </c>
      <c r="H1441" s="134"/>
      <c r="I1441" s="135" t="s">
        <v>14</v>
      </c>
      <c r="J1441" s="135" t="s">
        <v>14</v>
      </c>
      <c r="K1441" s="136"/>
      <c r="L1441" s="136"/>
    </row>
    <row r="1442">
      <c r="A1442" s="129"/>
      <c r="B1442" s="130" t="s">
        <v>11</v>
      </c>
      <c r="C1442" s="131" t="s">
        <v>4206</v>
      </c>
      <c r="D1442" s="131" t="s">
        <v>12</v>
      </c>
      <c r="E1442" s="132" t="s">
        <v>12</v>
      </c>
      <c r="F1442" s="133">
        <f t="shared" si="74"/>
        <v>2</v>
      </c>
      <c r="G1442" s="131" t="s">
        <v>4207</v>
      </c>
      <c r="H1442" s="134"/>
      <c r="I1442" s="135" t="s">
        <v>5592</v>
      </c>
      <c r="J1442" s="135" t="s">
        <v>5592</v>
      </c>
      <c r="K1442" s="136"/>
      <c r="L1442" s="136"/>
    </row>
    <row r="1443">
      <c r="A1443" s="129"/>
      <c r="B1443" s="130" t="s">
        <v>11</v>
      </c>
      <c r="C1443" s="131" t="s">
        <v>15</v>
      </c>
      <c r="D1443" s="131" t="s">
        <v>16</v>
      </c>
      <c r="E1443" s="132" t="s">
        <v>4215</v>
      </c>
      <c r="F1443" s="133">
        <f t="shared" si="74"/>
        <v>2</v>
      </c>
      <c r="G1443" s="131" t="s">
        <v>18</v>
      </c>
      <c r="H1443" s="134"/>
      <c r="I1443" s="135" t="s">
        <v>19</v>
      </c>
      <c r="J1443" s="135" t="s">
        <v>19</v>
      </c>
      <c r="K1443" s="136"/>
      <c r="L1443" s="136"/>
    </row>
    <row r="1444">
      <c r="A1444" s="129"/>
      <c r="B1444" s="130" t="s">
        <v>11</v>
      </c>
      <c r="C1444" s="131" t="s">
        <v>4216</v>
      </c>
      <c r="D1444" s="131" t="s">
        <v>16</v>
      </c>
      <c r="E1444" s="132" t="s">
        <v>4217</v>
      </c>
      <c r="F1444" s="133">
        <f t="shared" si="74"/>
        <v>2</v>
      </c>
      <c r="G1444" s="131" t="s">
        <v>4218</v>
      </c>
      <c r="H1444" s="134"/>
      <c r="I1444" s="135" t="s">
        <v>4219</v>
      </c>
      <c r="J1444" s="135" t="s">
        <v>5593</v>
      </c>
      <c r="K1444" s="136"/>
      <c r="L1444" s="136"/>
    </row>
    <row r="1445">
      <c r="A1445" s="33"/>
      <c r="B1445" s="33"/>
      <c r="C1445" s="12"/>
      <c r="D1445" s="12"/>
      <c r="E1445" s="137"/>
      <c r="F1445" s="14"/>
      <c r="G1445" s="12"/>
      <c r="H1445" s="138"/>
      <c r="I1445" s="61"/>
      <c r="J1445" s="61"/>
    </row>
    <row r="1446">
      <c r="A1446" s="129" t="s">
        <v>5591</v>
      </c>
      <c r="B1446" s="129" t="s">
        <v>5594</v>
      </c>
      <c r="C1446" s="131" t="s">
        <v>5595</v>
      </c>
      <c r="D1446" s="131" t="s">
        <v>40</v>
      </c>
      <c r="E1446" s="139" t="s">
        <v>5596</v>
      </c>
      <c r="F1446" s="133">
        <f t="shared" ref="F1446:F1481" si="75">counta(I1446:J1446)</f>
        <v>1</v>
      </c>
      <c r="G1446" s="131" t="s">
        <v>5595</v>
      </c>
      <c r="H1446" s="134"/>
      <c r="I1446" s="140"/>
      <c r="J1446" s="135" t="s">
        <v>5595</v>
      </c>
      <c r="K1446" s="136"/>
      <c r="L1446" s="136"/>
    </row>
    <row r="1447">
      <c r="A1447" s="129"/>
      <c r="B1447" s="129" t="s">
        <v>5594</v>
      </c>
      <c r="C1447" s="131" t="s">
        <v>5597</v>
      </c>
      <c r="D1447" s="131" t="s">
        <v>31</v>
      </c>
      <c r="E1447" s="139" t="s">
        <v>5598</v>
      </c>
      <c r="F1447" s="133">
        <f t="shared" si="75"/>
        <v>1</v>
      </c>
      <c r="G1447" s="131" t="s">
        <v>5599</v>
      </c>
      <c r="H1447" s="134"/>
      <c r="I1447" s="140"/>
      <c r="J1447" s="135" t="s">
        <v>5600</v>
      </c>
      <c r="K1447" s="136"/>
      <c r="L1447" s="136"/>
    </row>
    <row r="1448">
      <c r="A1448" s="129"/>
      <c r="B1448" s="129" t="s">
        <v>5594</v>
      </c>
      <c r="C1448" s="131" t="s">
        <v>5601</v>
      </c>
      <c r="D1448" s="131" t="s">
        <v>483</v>
      </c>
      <c r="E1448" s="139" t="s">
        <v>5602</v>
      </c>
      <c r="F1448" s="133">
        <f t="shared" si="75"/>
        <v>1</v>
      </c>
      <c r="G1448" s="131" t="s">
        <v>5603</v>
      </c>
      <c r="H1448" s="134"/>
      <c r="I1448" s="140"/>
      <c r="J1448" s="135" t="s">
        <v>5604</v>
      </c>
      <c r="K1448" s="136"/>
      <c r="L1448" s="136"/>
    </row>
    <row r="1449">
      <c r="A1449" s="129"/>
      <c r="B1449" s="129" t="s">
        <v>5594</v>
      </c>
      <c r="C1449" s="131" t="s">
        <v>5605</v>
      </c>
      <c r="D1449" s="131" t="s">
        <v>40</v>
      </c>
      <c r="E1449" s="139" t="s">
        <v>5606</v>
      </c>
      <c r="F1449" s="133">
        <f t="shared" si="75"/>
        <v>1</v>
      </c>
      <c r="G1449" s="131" t="s">
        <v>5607</v>
      </c>
      <c r="H1449" s="134"/>
      <c r="I1449" s="140"/>
      <c r="J1449" s="135" t="s">
        <v>5608</v>
      </c>
      <c r="K1449" s="136"/>
      <c r="L1449" s="136"/>
    </row>
    <row r="1450">
      <c r="A1450" s="129"/>
      <c r="B1450" s="129" t="s">
        <v>5594</v>
      </c>
      <c r="C1450" s="131" t="s">
        <v>5609</v>
      </c>
      <c r="D1450" s="131" t="s">
        <v>40</v>
      </c>
      <c r="E1450" s="139" t="s">
        <v>5610</v>
      </c>
      <c r="F1450" s="133">
        <f t="shared" si="75"/>
        <v>2</v>
      </c>
      <c r="G1450" s="131" t="s">
        <v>5611</v>
      </c>
      <c r="H1450" s="134"/>
      <c r="I1450" s="135" t="s">
        <v>5612</v>
      </c>
      <c r="J1450" s="135" t="s">
        <v>5612</v>
      </c>
      <c r="K1450" s="136"/>
      <c r="L1450" s="136"/>
    </row>
    <row r="1451">
      <c r="A1451" s="129"/>
      <c r="B1451" s="129" t="s">
        <v>5594</v>
      </c>
      <c r="C1451" s="131" t="s">
        <v>5613</v>
      </c>
      <c r="D1451" s="131" t="s">
        <v>40</v>
      </c>
      <c r="E1451" s="139" t="s">
        <v>5614</v>
      </c>
      <c r="F1451" s="133">
        <f t="shared" si="75"/>
        <v>1</v>
      </c>
      <c r="G1451" s="131" t="s">
        <v>5615</v>
      </c>
      <c r="H1451" s="134"/>
      <c r="I1451" s="140"/>
      <c r="J1451" s="135" t="s">
        <v>5616</v>
      </c>
      <c r="K1451" s="136"/>
      <c r="L1451" s="136"/>
    </row>
    <row r="1452">
      <c r="A1452" s="129"/>
      <c r="B1452" s="129" t="s">
        <v>5594</v>
      </c>
      <c r="C1452" s="131" t="s">
        <v>5617</v>
      </c>
      <c r="D1452" s="131" t="s">
        <v>40</v>
      </c>
      <c r="E1452" s="139" t="s">
        <v>5618</v>
      </c>
      <c r="F1452" s="133">
        <f t="shared" si="75"/>
        <v>1</v>
      </c>
      <c r="G1452" s="131" t="s">
        <v>5619</v>
      </c>
      <c r="H1452" s="134"/>
      <c r="I1452" s="140"/>
      <c r="J1452" s="135" t="s">
        <v>5620</v>
      </c>
      <c r="K1452" s="136"/>
      <c r="L1452" s="136"/>
    </row>
    <row r="1453">
      <c r="A1453" s="129"/>
      <c r="B1453" s="129" t="s">
        <v>5594</v>
      </c>
      <c r="C1453" s="131" t="s">
        <v>3953</v>
      </c>
      <c r="D1453" s="131" t="s">
        <v>40</v>
      </c>
      <c r="E1453" s="139" t="s">
        <v>5621</v>
      </c>
      <c r="F1453" s="133">
        <f t="shared" si="75"/>
        <v>2</v>
      </c>
      <c r="G1453" s="131" t="s">
        <v>3955</v>
      </c>
      <c r="H1453" s="134"/>
      <c r="I1453" s="135" t="s">
        <v>5622</v>
      </c>
      <c r="J1453" s="135" t="s">
        <v>5622</v>
      </c>
      <c r="K1453" s="136"/>
      <c r="L1453" s="136"/>
    </row>
    <row r="1454">
      <c r="A1454" s="129"/>
      <c r="B1454" s="129" t="s">
        <v>5594</v>
      </c>
      <c r="C1454" s="131" t="s">
        <v>5623</v>
      </c>
      <c r="D1454" s="131" t="s">
        <v>40</v>
      </c>
      <c r="E1454" s="139" t="s">
        <v>5624</v>
      </c>
      <c r="F1454" s="133">
        <f t="shared" si="75"/>
        <v>1</v>
      </c>
      <c r="G1454" s="131" t="s">
        <v>5625</v>
      </c>
      <c r="H1454" s="134"/>
      <c r="I1454" s="140"/>
      <c r="J1454" s="135" t="s">
        <v>5626</v>
      </c>
      <c r="K1454" s="136"/>
      <c r="L1454" s="136"/>
    </row>
    <row r="1455">
      <c r="A1455" s="129"/>
      <c r="B1455" s="129" t="s">
        <v>5594</v>
      </c>
      <c r="C1455" s="131" t="s">
        <v>5627</v>
      </c>
      <c r="D1455" s="131" t="s">
        <v>40</v>
      </c>
      <c r="E1455" s="139" t="s">
        <v>5628</v>
      </c>
      <c r="F1455" s="133">
        <f t="shared" si="75"/>
        <v>1</v>
      </c>
      <c r="G1455" s="131" t="s">
        <v>5629</v>
      </c>
      <c r="H1455" s="134"/>
      <c r="I1455" s="140"/>
      <c r="J1455" s="135" t="s">
        <v>5630</v>
      </c>
      <c r="K1455" s="136"/>
      <c r="L1455" s="136"/>
    </row>
    <row r="1456">
      <c r="A1456" s="129"/>
      <c r="B1456" s="129" t="s">
        <v>5594</v>
      </c>
      <c r="C1456" s="131" t="s">
        <v>5631</v>
      </c>
      <c r="D1456" s="131" t="s">
        <v>40</v>
      </c>
      <c r="E1456" s="139" t="s">
        <v>5632</v>
      </c>
      <c r="F1456" s="133">
        <f t="shared" si="75"/>
        <v>1</v>
      </c>
      <c r="G1456" s="131" t="s">
        <v>5633</v>
      </c>
      <c r="H1456" s="134"/>
      <c r="I1456" s="140"/>
      <c r="J1456" s="135" t="s">
        <v>5634</v>
      </c>
      <c r="K1456" s="136"/>
      <c r="L1456" s="136"/>
    </row>
    <row r="1457">
      <c r="A1457" s="129"/>
      <c r="B1457" s="129" t="s">
        <v>5594</v>
      </c>
      <c r="C1457" s="131" t="s">
        <v>1401</v>
      </c>
      <c r="D1457" s="131" t="s">
        <v>483</v>
      </c>
      <c r="E1457" s="139" t="s">
        <v>5635</v>
      </c>
      <c r="F1457" s="133">
        <f t="shared" si="75"/>
        <v>1</v>
      </c>
      <c r="G1457" s="131" t="s">
        <v>1402</v>
      </c>
      <c r="H1457" s="134"/>
      <c r="I1457" s="140"/>
      <c r="J1457" s="135" t="s">
        <v>5636</v>
      </c>
      <c r="K1457" s="136"/>
      <c r="L1457" s="136"/>
    </row>
    <row r="1458">
      <c r="A1458" s="129"/>
      <c r="B1458" s="129" t="s">
        <v>5594</v>
      </c>
      <c r="C1458" s="131" t="s">
        <v>1385</v>
      </c>
      <c r="D1458" s="131" t="s">
        <v>483</v>
      </c>
      <c r="E1458" s="139" t="s">
        <v>5637</v>
      </c>
      <c r="F1458" s="133">
        <f t="shared" si="75"/>
        <v>1</v>
      </c>
      <c r="G1458" s="131" t="s">
        <v>1386</v>
      </c>
      <c r="H1458" s="134"/>
      <c r="I1458" s="140"/>
      <c r="J1458" s="135" t="s">
        <v>5638</v>
      </c>
      <c r="K1458" s="136"/>
      <c r="L1458" s="136"/>
    </row>
    <row r="1459">
      <c r="A1459" s="129"/>
      <c r="B1459" s="129" t="s">
        <v>5594</v>
      </c>
      <c r="C1459" s="131" t="s">
        <v>5639</v>
      </c>
      <c r="D1459" s="131" t="s">
        <v>40</v>
      </c>
      <c r="E1459" s="139" t="s">
        <v>5640</v>
      </c>
      <c r="F1459" s="133">
        <f t="shared" si="75"/>
        <v>1</v>
      </c>
      <c r="G1459" s="131" t="s">
        <v>5641</v>
      </c>
      <c r="H1459" s="134"/>
      <c r="I1459" s="140"/>
      <c r="J1459" s="135" t="s">
        <v>5642</v>
      </c>
      <c r="K1459" s="136"/>
      <c r="L1459" s="136"/>
    </row>
    <row r="1460">
      <c r="A1460" s="129"/>
      <c r="B1460" s="129" t="s">
        <v>5594</v>
      </c>
      <c r="C1460" s="131" t="s">
        <v>464</v>
      </c>
      <c r="D1460" s="131" t="s">
        <v>464</v>
      </c>
      <c r="E1460" s="139" t="s">
        <v>5643</v>
      </c>
      <c r="F1460" s="133">
        <f t="shared" si="75"/>
        <v>1</v>
      </c>
      <c r="G1460" s="131" t="s">
        <v>466</v>
      </c>
      <c r="H1460" s="134"/>
      <c r="I1460" s="140"/>
      <c r="J1460" s="135" t="s">
        <v>5644</v>
      </c>
      <c r="K1460" s="136"/>
      <c r="L1460" s="136"/>
    </row>
    <row r="1461">
      <c r="A1461" s="129"/>
      <c r="B1461" s="129" t="s">
        <v>5594</v>
      </c>
      <c r="C1461" s="131" t="s">
        <v>5645</v>
      </c>
      <c r="D1461" s="131" t="s">
        <v>40</v>
      </c>
      <c r="E1461" s="139" t="s">
        <v>5646</v>
      </c>
      <c r="F1461" s="133">
        <f t="shared" si="75"/>
        <v>1</v>
      </c>
      <c r="G1461" s="131" t="s">
        <v>5647</v>
      </c>
      <c r="H1461" s="134"/>
      <c r="I1461" s="140"/>
      <c r="J1461" s="135" t="s">
        <v>5648</v>
      </c>
      <c r="K1461" s="136"/>
      <c r="L1461" s="136"/>
    </row>
    <row r="1462">
      <c r="A1462" s="129"/>
      <c r="B1462" s="129" t="s">
        <v>5594</v>
      </c>
      <c r="C1462" s="131" t="s">
        <v>5649</v>
      </c>
      <c r="D1462" s="131" t="s">
        <v>40</v>
      </c>
      <c r="E1462" s="139" t="s">
        <v>5650</v>
      </c>
      <c r="F1462" s="133">
        <f t="shared" si="75"/>
        <v>1</v>
      </c>
      <c r="G1462" s="131" t="s">
        <v>5651</v>
      </c>
      <c r="H1462" s="134"/>
      <c r="I1462" s="140"/>
      <c r="J1462" s="135" t="s">
        <v>5652</v>
      </c>
      <c r="K1462" s="136"/>
      <c r="L1462" s="136"/>
    </row>
    <row r="1463">
      <c r="A1463" s="129"/>
      <c r="B1463" s="129" t="s">
        <v>5594</v>
      </c>
      <c r="C1463" s="131" t="s">
        <v>5653</v>
      </c>
      <c r="D1463" s="131" t="s">
        <v>5654</v>
      </c>
      <c r="E1463" s="139" t="s">
        <v>5655</v>
      </c>
      <c r="F1463" s="133">
        <f t="shared" si="75"/>
        <v>1</v>
      </c>
      <c r="G1463" s="131" t="s">
        <v>5656</v>
      </c>
      <c r="H1463" s="134"/>
      <c r="I1463" s="140"/>
      <c r="J1463" s="135" t="s">
        <v>5657</v>
      </c>
      <c r="K1463" s="136"/>
      <c r="L1463" s="136"/>
    </row>
    <row r="1464">
      <c r="A1464" s="129"/>
      <c r="B1464" s="129" t="s">
        <v>5594</v>
      </c>
      <c r="C1464" s="131" t="s">
        <v>5658</v>
      </c>
      <c r="D1464" s="131" t="s">
        <v>40</v>
      </c>
      <c r="E1464" s="139" t="s">
        <v>5659</v>
      </c>
      <c r="F1464" s="133">
        <f t="shared" si="75"/>
        <v>1</v>
      </c>
      <c r="G1464" s="131" t="s">
        <v>5660</v>
      </c>
      <c r="H1464" s="134"/>
      <c r="I1464" s="140"/>
      <c r="J1464" s="135" t="s">
        <v>5661</v>
      </c>
      <c r="K1464" s="136"/>
      <c r="L1464" s="136"/>
    </row>
    <row r="1465">
      <c r="A1465" s="129"/>
      <c r="B1465" s="129" t="s">
        <v>5594</v>
      </c>
      <c r="C1465" s="131" t="s">
        <v>219</v>
      </c>
      <c r="D1465" s="131" t="s">
        <v>5662</v>
      </c>
      <c r="E1465" s="139" t="s">
        <v>5663</v>
      </c>
      <c r="F1465" s="133">
        <f t="shared" si="75"/>
        <v>1</v>
      </c>
      <c r="G1465" s="131" t="s">
        <v>222</v>
      </c>
      <c r="H1465" s="134"/>
      <c r="I1465" s="140"/>
      <c r="J1465" s="135" t="s">
        <v>220</v>
      </c>
      <c r="K1465" s="136"/>
      <c r="L1465" s="136"/>
    </row>
    <row r="1466">
      <c r="A1466" s="129"/>
      <c r="B1466" s="129" t="s">
        <v>5594</v>
      </c>
      <c r="C1466" s="131" t="s">
        <v>5664</v>
      </c>
      <c r="D1466" s="131" t="s">
        <v>31</v>
      </c>
      <c r="E1466" s="139" t="s">
        <v>5665</v>
      </c>
      <c r="F1466" s="133">
        <f t="shared" si="75"/>
        <v>1</v>
      </c>
      <c r="G1466" s="131" t="s">
        <v>5666</v>
      </c>
      <c r="H1466" s="134"/>
      <c r="I1466" s="140"/>
      <c r="J1466" s="135" t="s">
        <v>5667</v>
      </c>
      <c r="K1466" s="136"/>
      <c r="L1466" s="136"/>
    </row>
    <row r="1467">
      <c r="A1467" s="129"/>
      <c r="B1467" s="129" t="s">
        <v>5594</v>
      </c>
      <c r="C1467" s="131" t="s">
        <v>5668</v>
      </c>
      <c r="D1467" s="131" t="s">
        <v>483</v>
      </c>
      <c r="E1467" s="139" t="s">
        <v>5669</v>
      </c>
      <c r="F1467" s="133">
        <f t="shared" si="75"/>
        <v>1</v>
      </c>
      <c r="G1467" s="131" t="s">
        <v>5670</v>
      </c>
      <c r="H1467" s="134"/>
      <c r="I1467" s="140"/>
      <c r="J1467" s="135" t="s">
        <v>5671</v>
      </c>
      <c r="K1467" s="136"/>
      <c r="L1467" s="136"/>
    </row>
    <row r="1468">
      <c r="A1468" s="129"/>
      <c r="B1468" s="129" t="s">
        <v>5594</v>
      </c>
      <c r="C1468" s="131" t="s">
        <v>5672</v>
      </c>
      <c r="D1468" s="131" t="s">
        <v>5673</v>
      </c>
      <c r="E1468" s="139" t="s">
        <v>5674</v>
      </c>
      <c r="F1468" s="133">
        <f t="shared" si="75"/>
        <v>1</v>
      </c>
      <c r="G1468" s="131" t="s">
        <v>5675</v>
      </c>
      <c r="H1468" s="134"/>
      <c r="I1468" s="140"/>
      <c r="J1468" s="135" t="s">
        <v>5676</v>
      </c>
      <c r="K1468" s="136"/>
      <c r="L1468" s="136"/>
    </row>
    <row r="1469">
      <c r="A1469" s="129"/>
      <c r="B1469" s="129" t="s">
        <v>5594</v>
      </c>
      <c r="C1469" s="131" t="s">
        <v>5677</v>
      </c>
      <c r="D1469" s="131" t="s">
        <v>5673</v>
      </c>
      <c r="E1469" s="139" t="s">
        <v>5678</v>
      </c>
      <c r="F1469" s="133">
        <f t="shared" si="75"/>
        <v>1</v>
      </c>
      <c r="G1469" s="131" t="s">
        <v>5679</v>
      </c>
      <c r="H1469" s="134"/>
      <c r="I1469" s="140"/>
      <c r="J1469" s="135" t="s">
        <v>5680</v>
      </c>
      <c r="K1469" s="136"/>
      <c r="L1469" s="136"/>
    </row>
    <row r="1470">
      <c r="A1470" s="129"/>
      <c r="B1470" s="129" t="s">
        <v>5594</v>
      </c>
      <c r="C1470" s="131" t="s">
        <v>5681</v>
      </c>
      <c r="D1470" s="131" t="s">
        <v>40</v>
      </c>
      <c r="E1470" s="141" t="s">
        <v>5682</v>
      </c>
      <c r="F1470" s="133">
        <f t="shared" si="75"/>
        <v>1</v>
      </c>
      <c r="G1470" s="131" t="s">
        <v>5683</v>
      </c>
      <c r="H1470" s="134"/>
      <c r="I1470" s="140"/>
      <c r="J1470" s="135" t="s">
        <v>5684</v>
      </c>
      <c r="K1470" s="136"/>
      <c r="L1470" s="136"/>
    </row>
    <row r="1471">
      <c r="A1471" s="129"/>
      <c r="B1471" s="129" t="s">
        <v>5594</v>
      </c>
      <c r="C1471" s="131" t="s">
        <v>5685</v>
      </c>
      <c r="D1471" s="131" t="s">
        <v>40</v>
      </c>
      <c r="E1471" s="139" t="s">
        <v>5686</v>
      </c>
      <c r="F1471" s="133">
        <f t="shared" si="75"/>
        <v>2</v>
      </c>
      <c r="G1471" s="131" t="s">
        <v>5685</v>
      </c>
      <c r="H1471" s="134"/>
      <c r="I1471" s="135" t="s">
        <v>5685</v>
      </c>
      <c r="J1471" s="135" t="s">
        <v>5685</v>
      </c>
      <c r="K1471" s="136"/>
      <c r="L1471" s="136"/>
    </row>
    <row r="1472">
      <c r="A1472" s="129"/>
      <c r="B1472" s="129" t="s">
        <v>5594</v>
      </c>
      <c r="C1472" s="131" t="s">
        <v>5687</v>
      </c>
      <c r="D1472" s="131" t="s">
        <v>40</v>
      </c>
      <c r="E1472" s="139" t="s">
        <v>5688</v>
      </c>
      <c r="F1472" s="133">
        <f t="shared" si="75"/>
        <v>2</v>
      </c>
      <c r="G1472" s="131" t="s">
        <v>5689</v>
      </c>
      <c r="H1472" s="134"/>
      <c r="I1472" s="135" t="s">
        <v>5690</v>
      </c>
      <c r="J1472" s="135" t="s">
        <v>5690</v>
      </c>
      <c r="K1472" s="136"/>
      <c r="L1472" s="136"/>
    </row>
    <row r="1473">
      <c r="A1473" s="129"/>
      <c r="B1473" s="129" t="s">
        <v>5594</v>
      </c>
      <c r="C1473" s="131" t="s">
        <v>5087</v>
      </c>
      <c r="D1473" s="131" t="s">
        <v>40</v>
      </c>
      <c r="E1473" s="139" t="s">
        <v>5691</v>
      </c>
      <c r="F1473" s="133">
        <f t="shared" si="75"/>
        <v>2</v>
      </c>
      <c r="G1473" s="131" t="s">
        <v>5089</v>
      </c>
      <c r="H1473" s="134"/>
      <c r="I1473" s="135" t="s">
        <v>5692</v>
      </c>
      <c r="J1473" s="135" t="s">
        <v>5692</v>
      </c>
      <c r="K1473" s="136"/>
      <c r="L1473" s="136"/>
    </row>
    <row r="1474">
      <c r="A1474" s="129"/>
      <c r="B1474" s="129" t="s">
        <v>5594</v>
      </c>
      <c r="C1474" s="131" t="s">
        <v>4674</v>
      </c>
      <c r="D1474" s="131" t="s">
        <v>40</v>
      </c>
      <c r="E1474" s="139" t="s">
        <v>5693</v>
      </c>
      <c r="F1474" s="133">
        <f t="shared" si="75"/>
        <v>1</v>
      </c>
      <c r="G1474" s="131" t="s">
        <v>4676</v>
      </c>
      <c r="H1474" s="134"/>
      <c r="I1474" s="140"/>
      <c r="J1474" s="135" t="s">
        <v>5694</v>
      </c>
      <c r="K1474" s="136"/>
      <c r="L1474" s="136"/>
    </row>
    <row r="1475">
      <c r="A1475" s="129"/>
      <c r="B1475" s="129" t="s">
        <v>5594</v>
      </c>
      <c r="C1475" s="131" t="s">
        <v>5130</v>
      </c>
      <c r="D1475" s="131" t="s">
        <v>5695</v>
      </c>
      <c r="E1475" s="139" t="s">
        <v>5696</v>
      </c>
      <c r="F1475" s="133">
        <f t="shared" si="75"/>
        <v>2</v>
      </c>
      <c r="G1475" s="131" t="s">
        <v>5132</v>
      </c>
      <c r="H1475" s="134"/>
      <c r="I1475" s="135" t="s">
        <v>5697</v>
      </c>
      <c r="J1475" s="135" t="s">
        <v>5697</v>
      </c>
      <c r="K1475" s="136"/>
      <c r="L1475" s="136"/>
    </row>
    <row r="1476">
      <c r="A1476" s="129"/>
      <c r="B1476" s="129" t="s">
        <v>5594</v>
      </c>
      <c r="C1476" s="131" t="s">
        <v>5698</v>
      </c>
      <c r="D1476" s="131" t="s">
        <v>40</v>
      </c>
      <c r="E1476" s="139" t="s">
        <v>5699</v>
      </c>
      <c r="F1476" s="133">
        <f t="shared" si="75"/>
        <v>2</v>
      </c>
      <c r="G1476" s="131" t="s">
        <v>5700</v>
      </c>
      <c r="H1476" s="134"/>
      <c r="I1476" s="135" t="s">
        <v>5701</v>
      </c>
      <c r="J1476" s="135" t="s">
        <v>5701</v>
      </c>
      <c r="K1476" s="136"/>
      <c r="L1476" s="136"/>
    </row>
    <row r="1477">
      <c r="A1477" s="129"/>
      <c r="B1477" s="129" t="s">
        <v>5594</v>
      </c>
      <c r="C1477" s="131" t="s">
        <v>5702</v>
      </c>
      <c r="D1477" s="131" t="s">
        <v>5695</v>
      </c>
      <c r="E1477" s="139" t="s">
        <v>5703</v>
      </c>
      <c r="F1477" s="133">
        <f t="shared" si="75"/>
        <v>2</v>
      </c>
      <c r="G1477" s="131" t="s">
        <v>5704</v>
      </c>
      <c r="H1477" s="134"/>
      <c r="I1477" s="135" t="s">
        <v>4814</v>
      </c>
      <c r="J1477" s="135" t="s">
        <v>4814</v>
      </c>
      <c r="K1477" s="136"/>
      <c r="L1477" s="136"/>
    </row>
    <row r="1478">
      <c r="A1478" s="129"/>
      <c r="B1478" s="129" t="s">
        <v>5594</v>
      </c>
      <c r="C1478" s="131" t="s">
        <v>5705</v>
      </c>
      <c r="D1478" s="131" t="s">
        <v>40</v>
      </c>
      <c r="E1478" s="139" t="s">
        <v>5706</v>
      </c>
      <c r="F1478" s="133">
        <f t="shared" si="75"/>
        <v>1</v>
      </c>
      <c r="G1478" s="131" t="s">
        <v>5707</v>
      </c>
      <c r="H1478" s="134"/>
      <c r="I1478" s="140"/>
      <c r="J1478" s="135" t="s">
        <v>5708</v>
      </c>
      <c r="K1478" s="136"/>
      <c r="L1478" s="136"/>
    </row>
    <row r="1479">
      <c r="A1479" s="129"/>
      <c r="B1479" s="129" t="s">
        <v>5594</v>
      </c>
      <c r="C1479" s="131" t="s">
        <v>5709</v>
      </c>
      <c r="D1479" s="131" t="s">
        <v>40</v>
      </c>
      <c r="E1479" s="139" t="s">
        <v>5710</v>
      </c>
      <c r="F1479" s="133">
        <f t="shared" si="75"/>
        <v>2</v>
      </c>
      <c r="G1479" s="131" t="s">
        <v>5711</v>
      </c>
      <c r="H1479" s="134"/>
      <c r="I1479" s="135" t="s">
        <v>5712</v>
      </c>
      <c r="J1479" s="135" t="s">
        <v>5712</v>
      </c>
      <c r="K1479" s="136"/>
      <c r="L1479" s="136"/>
    </row>
    <row r="1480">
      <c r="A1480" s="129"/>
      <c r="B1480" s="129"/>
      <c r="C1480" s="131"/>
      <c r="D1480" s="131"/>
      <c r="E1480" s="139"/>
      <c r="F1480" s="133">
        <f t="shared" si="75"/>
        <v>0</v>
      </c>
      <c r="G1480" s="131"/>
      <c r="H1480" s="134"/>
      <c r="I1480" s="135"/>
      <c r="J1480" s="135"/>
      <c r="K1480" s="136"/>
      <c r="L1480" s="136"/>
    </row>
    <row r="1481">
      <c r="A1481" s="129"/>
      <c r="B1481" s="129" t="s">
        <v>5594</v>
      </c>
      <c r="C1481" s="131" t="s">
        <v>5713</v>
      </c>
      <c r="D1481" s="131" t="s">
        <v>31</v>
      </c>
      <c r="E1481" s="139"/>
      <c r="F1481" s="133">
        <f t="shared" si="75"/>
        <v>0</v>
      </c>
      <c r="G1481" s="131" t="s">
        <v>5714</v>
      </c>
      <c r="H1481" s="134"/>
      <c r="I1481" s="135"/>
      <c r="J1481" s="135"/>
      <c r="K1481" s="136"/>
      <c r="L1481" s="136"/>
    </row>
    <row r="1482">
      <c r="A1482" s="33"/>
      <c r="B1482" s="33"/>
      <c r="C1482" s="12"/>
      <c r="D1482" s="12"/>
      <c r="E1482" s="142"/>
      <c r="F1482" s="14"/>
      <c r="G1482" s="12"/>
      <c r="H1482" s="138"/>
      <c r="I1482" s="143"/>
      <c r="J1482" s="143"/>
    </row>
    <row r="1483">
      <c r="A1483" s="129" t="s">
        <v>5591</v>
      </c>
      <c r="B1483" s="129" t="s">
        <v>5715</v>
      </c>
      <c r="C1483" s="131" t="s">
        <v>5716</v>
      </c>
      <c r="D1483" s="131" t="s">
        <v>5716</v>
      </c>
      <c r="E1483" s="139" t="s">
        <v>5717</v>
      </c>
      <c r="F1483" s="133">
        <f t="shared" ref="F1483:F1496" si="76">counta(I1483:J1483)</f>
        <v>1</v>
      </c>
      <c r="G1483" s="131" t="s">
        <v>5718</v>
      </c>
      <c r="H1483" s="134"/>
      <c r="I1483" s="140"/>
      <c r="J1483" s="135" t="s">
        <v>5719</v>
      </c>
      <c r="K1483" s="136"/>
      <c r="L1483" s="136"/>
    </row>
    <row r="1484">
      <c r="A1484" s="129"/>
      <c r="B1484" s="129" t="s">
        <v>5715</v>
      </c>
      <c r="C1484" s="131" t="s">
        <v>5720</v>
      </c>
      <c r="D1484" s="131" t="s">
        <v>40</v>
      </c>
      <c r="E1484" s="139" t="s">
        <v>5721</v>
      </c>
      <c r="F1484" s="133">
        <f t="shared" si="76"/>
        <v>2</v>
      </c>
      <c r="G1484" s="131" t="s">
        <v>5722</v>
      </c>
      <c r="H1484" s="134"/>
      <c r="I1484" s="135" t="s">
        <v>5723</v>
      </c>
      <c r="J1484" s="135" t="s">
        <v>5723</v>
      </c>
      <c r="K1484" s="136"/>
      <c r="L1484" s="136"/>
    </row>
    <row r="1485">
      <c r="A1485" s="129"/>
      <c r="B1485" s="129" t="s">
        <v>5715</v>
      </c>
      <c r="C1485" s="131" t="s">
        <v>5724</v>
      </c>
      <c r="D1485" s="131" t="s">
        <v>5695</v>
      </c>
      <c r="E1485" s="139" t="s">
        <v>5725</v>
      </c>
      <c r="F1485" s="133">
        <f t="shared" si="76"/>
        <v>1</v>
      </c>
      <c r="G1485" s="131" t="s">
        <v>5726</v>
      </c>
      <c r="H1485" s="134"/>
      <c r="I1485" s="140"/>
      <c r="J1485" s="135" t="s">
        <v>5727</v>
      </c>
      <c r="K1485" s="136"/>
      <c r="L1485" s="136"/>
    </row>
    <row r="1486">
      <c r="A1486" s="129"/>
      <c r="B1486" s="129" t="s">
        <v>5715</v>
      </c>
      <c r="C1486" s="131" t="s">
        <v>5728</v>
      </c>
      <c r="D1486" s="131" t="s">
        <v>5695</v>
      </c>
      <c r="E1486" s="139" t="s">
        <v>5729</v>
      </c>
      <c r="F1486" s="133">
        <f t="shared" si="76"/>
        <v>1</v>
      </c>
      <c r="G1486" s="131" t="s">
        <v>5730</v>
      </c>
      <c r="H1486" s="134"/>
      <c r="I1486" s="140"/>
      <c r="J1486" s="135" t="s">
        <v>5731</v>
      </c>
      <c r="K1486" s="136"/>
      <c r="L1486" s="136"/>
    </row>
    <row r="1487">
      <c r="A1487" s="129"/>
      <c r="B1487" s="129" t="s">
        <v>5715</v>
      </c>
      <c r="C1487" s="131" t="s">
        <v>5732</v>
      </c>
      <c r="D1487" s="131" t="s">
        <v>5695</v>
      </c>
      <c r="E1487" s="139" t="s">
        <v>5733</v>
      </c>
      <c r="F1487" s="133">
        <f t="shared" si="76"/>
        <v>2</v>
      </c>
      <c r="G1487" s="131" t="s">
        <v>5734</v>
      </c>
      <c r="H1487" s="134"/>
      <c r="I1487" s="135" t="s">
        <v>5735</v>
      </c>
      <c r="J1487" s="135" t="s">
        <v>5735</v>
      </c>
      <c r="K1487" s="136"/>
      <c r="L1487" s="136"/>
    </row>
    <row r="1488">
      <c r="A1488" s="129"/>
      <c r="B1488" s="129" t="s">
        <v>5715</v>
      </c>
      <c r="C1488" s="131" t="s">
        <v>5736</v>
      </c>
      <c r="D1488" s="131" t="s">
        <v>40</v>
      </c>
      <c r="E1488" s="139" t="s">
        <v>5737</v>
      </c>
      <c r="F1488" s="133">
        <f t="shared" si="76"/>
        <v>2</v>
      </c>
      <c r="G1488" s="131" t="s">
        <v>5738</v>
      </c>
      <c r="H1488" s="134"/>
      <c r="I1488" s="135" t="s">
        <v>5739</v>
      </c>
      <c r="J1488" s="135" t="s">
        <v>5739</v>
      </c>
      <c r="K1488" s="136"/>
      <c r="L1488" s="136"/>
    </row>
    <row r="1489">
      <c r="A1489" s="129"/>
      <c r="B1489" s="129" t="s">
        <v>5715</v>
      </c>
      <c r="C1489" s="131" t="s">
        <v>5740</v>
      </c>
      <c r="D1489" s="131" t="s">
        <v>40</v>
      </c>
      <c r="E1489" s="139" t="s">
        <v>5741</v>
      </c>
      <c r="F1489" s="133">
        <f t="shared" si="76"/>
        <v>2</v>
      </c>
      <c r="G1489" s="131" t="s">
        <v>5742</v>
      </c>
      <c r="H1489" s="134"/>
      <c r="I1489" s="135" t="s">
        <v>5743</v>
      </c>
      <c r="J1489" s="135" t="s">
        <v>5743</v>
      </c>
      <c r="K1489" s="136"/>
      <c r="L1489" s="136"/>
    </row>
    <row r="1490">
      <c r="A1490" s="129"/>
      <c r="B1490" s="129" t="s">
        <v>5715</v>
      </c>
      <c r="C1490" s="131" t="s">
        <v>5744</v>
      </c>
      <c r="D1490" s="131" t="s">
        <v>5695</v>
      </c>
      <c r="E1490" s="139" t="s">
        <v>5745</v>
      </c>
      <c r="F1490" s="133">
        <f t="shared" si="76"/>
        <v>2</v>
      </c>
      <c r="G1490" s="131" t="s">
        <v>5746</v>
      </c>
      <c r="H1490" s="134"/>
      <c r="I1490" s="135" t="s">
        <v>5747</v>
      </c>
      <c r="J1490" s="135" t="s">
        <v>5747</v>
      </c>
      <c r="K1490" s="136"/>
      <c r="L1490" s="136"/>
    </row>
    <row r="1491">
      <c r="A1491" s="129"/>
      <c r="B1491" s="129" t="s">
        <v>5715</v>
      </c>
      <c r="C1491" s="131" t="s">
        <v>5748</v>
      </c>
      <c r="D1491" s="131" t="s">
        <v>5695</v>
      </c>
      <c r="E1491" s="139" t="s">
        <v>5749</v>
      </c>
      <c r="F1491" s="133">
        <f t="shared" si="76"/>
        <v>2</v>
      </c>
      <c r="G1491" s="131" t="s">
        <v>5750</v>
      </c>
      <c r="H1491" s="134"/>
      <c r="I1491" s="135" t="s">
        <v>5751</v>
      </c>
      <c r="J1491" s="135" t="s">
        <v>5751</v>
      </c>
      <c r="K1491" s="136"/>
      <c r="L1491" s="136"/>
    </row>
    <row r="1492">
      <c r="A1492" s="129"/>
      <c r="B1492" s="129" t="s">
        <v>5715</v>
      </c>
      <c r="C1492" s="131" t="s">
        <v>5752</v>
      </c>
      <c r="D1492" s="131" t="s">
        <v>40</v>
      </c>
      <c r="E1492" s="139" t="s">
        <v>5753</v>
      </c>
      <c r="F1492" s="133">
        <f t="shared" si="76"/>
        <v>2</v>
      </c>
      <c r="G1492" s="131" t="s">
        <v>5754</v>
      </c>
      <c r="H1492" s="134"/>
      <c r="I1492" s="135" t="s">
        <v>5755</v>
      </c>
      <c r="J1492" s="135" t="s">
        <v>5755</v>
      </c>
      <c r="K1492" s="136"/>
      <c r="L1492" s="136"/>
    </row>
    <row r="1493">
      <c r="A1493" s="129"/>
      <c r="B1493" s="129" t="s">
        <v>5715</v>
      </c>
      <c r="C1493" s="131" t="s">
        <v>5756</v>
      </c>
      <c r="D1493" s="131" t="s">
        <v>40</v>
      </c>
      <c r="E1493" s="139" t="s">
        <v>5757</v>
      </c>
      <c r="F1493" s="133">
        <f t="shared" si="76"/>
        <v>2</v>
      </c>
      <c r="G1493" s="131" t="s">
        <v>5758</v>
      </c>
      <c r="H1493" s="134"/>
      <c r="I1493" s="135" t="s">
        <v>5759</v>
      </c>
      <c r="J1493" s="135" t="s">
        <v>5759</v>
      </c>
      <c r="K1493" s="136"/>
      <c r="L1493" s="136"/>
    </row>
    <row r="1494">
      <c r="A1494" s="129"/>
      <c r="B1494" s="129" t="s">
        <v>5715</v>
      </c>
      <c r="C1494" s="131" t="s">
        <v>5760</v>
      </c>
      <c r="D1494" s="131" t="s">
        <v>5695</v>
      </c>
      <c r="E1494" s="139" t="s">
        <v>5761</v>
      </c>
      <c r="F1494" s="133">
        <f t="shared" si="76"/>
        <v>0</v>
      </c>
      <c r="G1494" s="131" t="s">
        <v>5762</v>
      </c>
      <c r="H1494" s="144" t="s">
        <v>5763</v>
      </c>
      <c r="I1494" s="135"/>
      <c r="J1494" s="135"/>
      <c r="K1494" s="136"/>
      <c r="L1494" s="136"/>
    </row>
    <row r="1495">
      <c r="A1495" s="129"/>
      <c r="B1495" s="129" t="s">
        <v>5715</v>
      </c>
      <c r="C1495" s="131" t="s">
        <v>5764</v>
      </c>
      <c r="D1495" s="131" t="s">
        <v>5764</v>
      </c>
      <c r="E1495" s="139" t="s">
        <v>5765</v>
      </c>
      <c r="F1495" s="133">
        <f t="shared" si="76"/>
        <v>1</v>
      </c>
      <c r="G1495" s="131" t="s">
        <v>5766</v>
      </c>
      <c r="H1495" s="134"/>
      <c r="I1495" s="140"/>
      <c r="J1495" s="135" t="s">
        <v>5767</v>
      </c>
      <c r="K1495" s="136"/>
      <c r="L1495" s="136"/>
    </row>
    <row r="1496">
      <c r="A1496" s="129"/>
      <c r="B1496" s="129" t="s">
        <v>5715</v>
      </c>
      <c r="C1496" s="131" t="s">
        <v>5768</v>
      </c>
      <c r="D1496" s="131"/>
      <c r="E1496" s="139" t="s">
        <v>5769</v>
      </c>
      <c r="F1496" s="133">
        <f t="shared" si="76"/>
        <v>0</v>
      </c>
      <c r="G1496" s="131" t="s">
        <v>5770</v>
      </c>
      <c r="H1496" s="134"/>
      <c r="I1496" s="140"/>
      <c r="J1496" s="135"/>
      <c r="K1496" s="136"/>
      <c r="L1496" s="136"/>
    </row>
    <row r="1497">
      <c r="B1497" s="118"/>
      <c r="E1497" s="145"/>
      <c r="F1497" s="14"/>
      <c r="G1497" s="12"/>
      <c r="H1497" s="145"/>
    </row>
    <row r="1498">
      <c r="A1498" s="129" t="s">
        <v>5591</v>
      </c>
      <c r="B1498" s="131" t="s">
        <v>5771</v>
      </c>
      <c r="C1498" s="146" t="s">
        <v>5772</v>
      </c>
      <c r="D1498" s="140" t="s">
        <v>31</v>
      </c>
      <c r="E1498" s="147"/>
      <c r="F1498" s="133">
        <f t="shared" ref="F1498:F1533" si="77">counta(I1498:J1498)</f>
        <v>0</v>
      </c>
      <c r="G1498" s="131" t="s">
        <v>5773</v>
      </c>
      <c r="H1498" s="147"/>
      <c r="I1498" s="136"/>
      <c r="J1498" s="136"/>
      <c r="K1498" s="136"/>
      <c r="L1498" s="136"/>
    </row>
    <row r="1499">
      <c r="A1499" s="136"/>
      <c r="B1499" s="131" t="s">
        <v>5771</v>
      </c>
      <c r="C1499" s="146" t="s">
        <v>5774</v>
      </c>
      <c r="D1499" s="140" t="s">
        <v>31</v>
      </c>
      <c r="E1499" s="147"/>
      <c r="F1499" s="133">
        <f t="shared" si="77"/>
        <v>0</v>
      </c>
      <c r="G1499" s="131" t="s">
        <v>5775</v>
      </c>
      <c r="H1499" s="147"/>
      <c r="I1499" s="136"/>
      <c r="J1499" s="136"/>
      <c r="K1499" s="136"/>
      <c r="L1499" s="136"/>
    </row>
    <row r="1500">
      <c r="A1500" s="136"/>
      <c r="B1500" s="131" t="s">
        <v>5771</v>
      </c>
      <c r="C1500" s="146" t="s">
        <v>5776</v>
      </c>
      <c r="D1500" s="140" t="s">
        <v>31</v>
      </c>
      <c r="E1500" s="147"/>
      <c r="F1500" s="133">
        <f t="shared" si="77"/>
        <v>0</v>
      </c>
      <c r="G1500" s="131" t="s">
        <v>5777</v>
      </c>
      <c r="H1500" s="147"/>
      <c r="I1500" s="136"/>
      <c r="J1500" s="136"/>
      <c r="K1500" s="136"/>
      <c r="L1500" s="136"/>
    </row>
    <row r="1501">
      <c r="A1501" s="136"/>
      <c r="B1501" s="131" t="s">
        <v>5771</v>
      </c>
      <c r="C1501" s="146" t="s">
        <v>5778</v>
      </c>
      <c r="D1501" s="140" t="s">
        <v>31</v>
      </c>
      <c r="E1501" s="147"/>
      <c r="F1501" s="133">
        <f t="shared" si="77"/>
        <v>0</v>
      </c>
      <c r="G1501" s="131" t="s">
        <v>5779</v>
      </c>
      <c r="H1501" s="147"/>
      <c r="I1501" s="136"/>
      <c r="J1501" s="136"/>
      <c r="K1501" s="136"/>
      <c r="L1501" s="136"/>
    </row>
    <row r="1502">
      <c r="A1502" s="136"/>
      <c r="B1502" s="131" t="s">
        <v>5771</v>
      </c>
      <c r="C1502" s="146" t="s">
        <v>5780</v>
      </c>
      <c r="D1502" s="140" t="s">
        <v>31</v>
      </c>
      <c r="E1502" s="147"/>
      <c r="F1502" s="133">
        <f t="shared" si="77"/>
        <v>0</v>
      </c>
      <c r="G1502" s="131" t="s">
        <v>5781</v>
      </c>
      <c r="H1502" s="147"/>
      <c r="I1502" s="136"/>
      <c r="J1502" s="136"/>
      <c r="K1502" s="136"/>
      <c r="L1502" s="136"/>
    </row>
    <row r="1503">
      <c r="A1503" s="136"/>
      <c r="B1503" s="131" t="s">
        <v>5771</v>
      </c>
      <c r="C1503" s="146" t="s">
        <v>5782</v>
      </c>
      <c r="D1503" s="140" t="s">
        <v>31</v>
      </c>
      <c r="E1503" s="147"/>
      <c r="F1503" s="133">
        <f t="shared" si="77"/>
        <v>0</v>
      </c>
      <c r="G1503" s="131" t="s">
        <v>5783</v>
      </c>
      <c r="H1503" s="147"/>
      <c r="I1503" s="136"/>
      <c r="J1503" s="136"/>
      <c r="K1503" s="136"/>
      <c r="L1503" s="136"/>
    </row>
    <row r="1504">
      <c r="A1504" s="136"/>
      <c r="B1504" s="131" t="s">
        <v>5771</v>
      </c>
      <c r="C1504" s="146" t="s">
        <v>5784</v>
      </c>
      <c r="D1504" s="140" t="s">
        <v>31</v>
      </c>
      <c r="E1504" s="147"/>
      <c r="F1504" s="133">
        <f t="shared" si="77"/>
        <v>0</v>
      </c>
      <c r="G1504" s="131" t="s">
        <v>5785</v>
      </c>
      <c r="H1504" s="147"/>
      <c r="I1504" s="136"/>
      <c r="J1504" s="136"/>
      <c r="K1504" s="136"/>
      <c r="L1504" s="136"/>
    </row>
    <row r="1505">
      <c r="A1505" s="136"/>
      <c r="B1505" s="131" t="s">
        <v>5771</v>
      </c>
      <c r="C1505" s="146" t="s">
        <v>5786</v>
      </c>
      <c r="D1505" s="140" t="s">
        <v>31</v>
      </c>
      <c r="E1505" s="147"/>
      <c r="F1505" s="133">
        <f t="shared" si="77"/>
        <v>0</v>
      </c>
      <c r="G1505" s="131" t="s">
        <v>5787</v>
      </c>
      <c r="H1505" s="147"/>
      <c r="I1505" s="136"/>
      <c r="J1505" s="136"/>
      <c r="K1505" s="136"/>
      <c r="L1505" s="136"/>
    </row>
    <row r="1506">
      <c r="A1506" s="136"/>
      <c r="B1506" s="131" t="s">
        <v>5771</v>
      </c>
      <c r="C1506" s="146" t="s">
        <v>5788</v>
      </c>
      <c r="D1506" s="140" t="s">
        <v>31</v>
      </c>
      <c r="E1506" s="147"/>
      <c r="F1506" s="133">
        <f t="shared" si="77"/>
        <v>0</v>
      </c>
      <c r="G1506" s="131" t="s">
        <v>5789</v>
      </c>
      <c r="H1506" s="147"/>
      <c r="I1506" s="136"/>
      <c r="J1506" s="136"/>
      <c r="K1506" s="136"/>
      <c r="L1506" s="136"/>
    </row>
    <row r="1507">
      <c r="A1507" s="136"/>
      <c r="B1507" s="131" t="s">
        <v>5771</v>
      </c>
      <c r="C1507" s="148" t="s">
        <v>5790</v>
      </c>
      <c r="D1507" s="140" t="s">
        <v>31</v>
      </c>
      <c r="E1507" s="147"/>
      <c r="F1507" s="133">
        <f t="shared" si="77"/>
        <v>0</v>
      </c>
      <c r="G1507" s="131" t="s">
        <v>5791</v>
      </c>
      <c r="H1507" s="147"/>
      <c r="I1507" s="136"/>
      <c r="J1507" s="136"/>
      <c r="K1507" s="136"/>
      <c r="L1507" s="136"/>
    </row>
    <row r="1508">
      <c r="A1508" s="136"/>
      <c r="B1508" s="131" t="s">
        <v>5771</v>
      </c>
      <c r="C1508" s="148" t="s">
        <v>5792</v>
      </c>
      <c r="D1508" s="140" t="s">
        <v>31</v>
      </c>
      <c r="E1508" s="147"/>
      <c r="F1508" s="133">
        <f t="shared" si="77"/>
        <v>0</v>
      </c>
      <c r="G1508" s="131" t="s">
        <v>5793</v>
      </c>
      <c r="H1508" s="147"/>
      <c r="I1508" s="136"/>
      <c r="J1508" s="136"/>
      <c r="K1508" s="136"/>
      <c r="L1508" s="136"/>
    </row>
    <row r="1509">
      <c r="A1509" s="136"/>
      <c r="B1509" s="131" t="s">
        <v>5771</v>
      </c>
      <c r="C1509" s="140" t="s">
        <v>5794</v>
      </c>
      <c r="D1509" s="140" t="s">
        <v>31</v>
      </c>
      <c r="E1509" s="132" t="s">
        <v>5795</v>
      </c>
      <c r="F1509" s="133">
        <f t="shared" si="77"/>
        <v>0</v>
      </c>
      <c r="G1509" s="131" t="s">
        <v>5796</v>
      </c>
      <c r="H1509" s="147"/>
      <c r="I1509" s="136"/>
      <c r="J1509" s="136"/>
      <c r="K1509" s="136"/>
      <c r="L1509" s="136"/>
    </row>
    <row r="1510">
      <c r="A1510" s="136"/>
      <c r="B1510" s="131" t="s">
        <v>5771</v>
      </c>
      <c r="C1510" s="146" t="s">
        <v>5797</v>
      </c>
      <c r="D1510" s="140" t="s">
        <v>31</v>
      </c>
      <c r="E1510" s="132"/>
      <c r="F1510" s="133">
        <f t="shared" si="77"/>
        <v>0</v>
      </c>
      <c r="G1510" s="131" t="s">
        <v>5798</v>
      </c>
      <c r="H1510" s="147"/>
      <c r="I1510" s="136"/>
      <c r="J1510" s="136"/>
      <c r="K1510" s="136"/>
      <c r="L1510" s="136"/>
    </row>
    <row r="1511">
      <c r="A1511" s="136"/>
      <c r="B1511" s="131" t="s">
        <v>5771</v>
      </c>
      <c r="C1511" s="146" t="s">
        <v>5799</v>
      </c>
      <c r="D1511" s="140" t="s">
        <v>31</v>
      </c>
      <c r="E1511" s="132"/>
      <c r="F1511" s="133">
        <f t="shared" si="77"/>
        <v>0</v>
      </c>
      <c r="G1511" s="131" t="s">
        <v>5800</v>
      </c>
      <c r="H1511" s="147"/>
      <c r="I1511" s="136"/>
      <c r="J1511" s="136"/>
      <c r="K1511" s="136"/>
      <c r="L1511" s="136"/>
    </row>
    <row r="1512">
      <c r="A1512" s="136"/>
      <c r="B1512" s="131" t="s">
        <v>5771</v>
      </c>
      <c r="C1512" s="146" t="s">
        <v>5801</v>
      </c>
      <c r="D1512" s="140" t="s">
        <v>31</v>
      </c>
      <c r="E1512" s="132"/>
      <c r="F1512" s="133">
        <f t="shared" si="77"/>
        <v>0</v>
      </c>
      <c r="G1512" s="131" t="s">
        <v>5802</v>
      </c>
      <c r="H1512" s="147"/>
      <c r="I1512" s="136"/>
      <c r="J1512" s="136"/>
      <c r="K1512" s="136"/>
      <c r="L1512" s="136"/>
    </row>
    <row r="1513">
      <c r="A1513" s="136"/>
      <c r="B1513" s="131" t="s">
        <v>5771</v>
      </c>
      <c r="C1513" s="146" t="s">
        <v>5803</v>
      </c>
      <c r="D1513" s="140" t="s">
        <v>31</v>
      </c>
      <c r="E1513" s="132"/>
      <c r="F1513" s="133">
        <f t="shared" si="77"/>
        <v>0</v>
      </c>
      <c r="G1513" s="131" t="s">
        <v>5804</v>
      </c>
      <c r="H1513" s="147"/>
      <c r="I1513" s="136"/>
      <c r="J1513" s="136"/>
      <c r="K1513" s="136"/>
      <c r="L1513" s="136"/>
    </row>
    <row r="1514">
      <c r="A1514" s="136"/>
      <c r="B1514" s="131" t="s">
        <v>5771</v>
      </c>
      <c r="C1514" s="146" t="s">
        <v>5805</v>
      </c>
      <c r="D1514" s="140" t="s">
        <v>31</v>
      </c>
      <c r="E1514" s="132"/>
      <c r="F1514" s="133">
        <f t="shared" si="77"/>
        <v>0</v>
      </c>
      <c r="G1514" s="131" t="s">
        <v>5806</v>
      </c>
      <c r="H1514" s="147"/>
      <c r="I1514" s="136"/>
      <c r="J1514" s="136"/>
      <c r="K1514" s="136"/>
      <c r="L1514" s="136"/>
    </row>
    <row r="1515">
      <c r="A1515" s="136"/>
      <c r="B1515" s="131" t="s">
        <v>5771</v>
      </c>
      <c r="C1515" s="146" t="s">
        <v>5807</v>
      </c>
      <c r="D1515" s="140" t="s">
        <v>31</v>
      </c>
      <c r="E1515" s="132"/>
      <c r="F1515" s="133">
        <f t="shared" si="77"/>
        <v>0</v>
      </c>
      <c r="G1515" s="131" t="s">
        <v>5808</v>
      </c>
      <c r="H1515" s="147"/>
      <c r="I1515" s="136"/>
      <c r="J1515" s="136"/>
      <c r="K1515" s="136"/>
      <c r="L1515" s="136"/>
    </row>
    <row r="1516">
      <c r="A1516" s="136"/>
      <c r="B1516" s="131" t="s">
        <v>5771</v>
      </c>
      <c r="C1516" s="146" t="s">
        <v>5809</v>
      </c>
      <c r="D1516" s="140" t="s">
        <v>31</v>
      </c>
      <c r="E1516" s="132"/>
      <c r="F1516" s="133">
        <f t="shared" si="77"/>
        <v>0</v>
      </c>
      <c r="G1516" s="131" t="s">
        <v>5810</v>
      </c>
      <c r="H1516" s="147"/>
      <c r="I1516" s="136"/>
      <c r="J1516" s="136"/>
      <c r="K1516" s="136"/>
      <c r="L1516" s="136"/>
    </row>
    <row r="1517">
      <c r="A1517" s="136"/>
      <c r="B1517" s="131" t="s">
        <v>5771</v>
      </c>
      <c r="C1517" s="146" t="s">
        <v>5811</v>
      </c>
      <c r="D1517" s="140" t="s">
        <v>31</v>
      </c>
      <c r="E1517" s="132"/>
      <c r="F1517" s="133">
        <f t="shared" si="77"/>
        <v>0</v>
      </c>
      <c r="G1517" s="131" t="s">
        <v>5812</v>
      </c>
      <c r="H1517" s="147"/>
      <c r="I1517" s="136"/>
      <c r="J1517" s="136"/>
      <c r="K1517" s="136"/>
      <c r="L1517" s="136"/>
    </row>
    <row r="1518">
      <c r="A1518" s="136"/>
      <c r="B1518" s="131" t="s">
        <v>5771</v>
      </c>
      <c r="C1518" s="146" t="s">
        <v>5813</v>
      </c>
      <c r="D1518" s="140" t="s">
        <v>31</v>
      </c>
      <c r="E1518" s="132"/>
      <c r="F1518" s="133">
        <f t="shared" si="77"/>
        <v>0</v>
      </c>
      <c r="G1518" s="131" t="s">
        <v>5814</v>
      </c>
      <c r="H1518" s="147"/>
      <c r="I1518" s="136"/>
      <c r="J1518" s="136"/>
      <c r="K1518" s="136"/>
      <c r="L1518" s="136"/>
    </row>
    <row r="1519">
      <c r="A1519" s="136"/>
      <c r="B1519" s="131" t="s">
        <v>5771</v>
      </c>
      <c r="C1519" s="148" t="s">
        <v>5815</v>
      </c>
      <c r="D1519" s="140" t="s">
        <v>31</v>
      </c>
      <c r="E1519" s="132"/>
      <c r="F1519" s="133">
        <f t="shared" si="77"/>
        <v>0</v>
      </c>
      <c r="G1519" s="131" t="s">
        <v>5816</v>
      </c>
      <c r="H1519" s="147"/>
      <c r="I1519" s="136"/>
      <c r="J1519" s="136"/>
      <c r="K1519" s="136"/>
      <c r="L1519" s="136"/>
    </row>
    <row r="1520">
      <c r="A1520" s="136"/>
      <c r="B1520" s="131" t="s">
        <v>5771</v>
      </c>
      <c r="C1520" s="148" t="s">
        <v>5817</v>
      </c>
      <c r="D1520" s="140" t="s">
        <v>31</v>
      </c>
      <c r="E1520" s="132"/>
      <c r="F1520" s="133">
        <f t="shared" si="77"/>
        <v>0</v>
      </c>
      <c r="G1520" s="131" t="s">
        <v>5818</v>
      </c>
      <c r="H1520" s="147"/>
      <c r="I1520" s="136"/>
      <c r="J1520" s="136"/>
      <c r="K1520" s="136"/>
      <c r="L1520" s="136"/>
    </row>
    <row r="1521">
      <c r="A1521" s="136"/>
      <c r="B1521" s="131" t="s">
        <v>5771</v>
      </c>
      <c r="C1521" s="140" t="s">
        <v>5819</v>
      </c>
      <c r="D1521" s="140" t="s">
        <v>31</v>
      </c>
      <c r="E1521" s="132" t="s">
        <v>5820</v>
      </c>
      <c r="F1521" s="133">
        <f t="shared" si="77"/>
        <v>0</v>
      </c>
      <c r="G1521" s="131" t="s">
        <v>5821</v>
      </c>
      <c r="H1521" s="147"/>
      <c r="I1521" s="136"/>
      <c r="J1521" s="136"/>
      <c r="K1521" s="136"/>
      <c r="L1521" s="136"/>
    </row>
    <row r="1522">
      <c r="A1522" s="136"/>
      <c r="B1522" s="131" t="s">
        <v>5771</v>
      </c>
      <c r="C1522" s="146" t="s">
        <v>5822</v>
      </c>
      <c r="D1522" s="140" t="s">
        <v>31</v>
      </c>
      <c r="E1522" s="132"/>
      <c r="F1522" s="133">
        <f t="shared" si="77"/>
        <v>0</v>
      </c>
      <c r="G1522" s="131" t="s">
        <v>5823</v>
      </c>
      <c r="H1522" s="147"/>
      <c r="I1522" s="136"/>
      <c r="J1522" s="136"/>
      <c r="K1522" s="136"/>
      <c r="L1522" s="136"/>
    </row>
    <row r="1523">
      <c r="A1523" s="136"/>
      <c r="B1523" s="131" t="s">
        <v>5771</v>
      </c>
      <c r="C1523" s="146" t="s">
        <v>5824</v>
      </c>
      <c r="D1523" s="140" t="s">
        <v>31</v>
      </c>
      <c r="E1523" s="132"/>
      <c r="F1523" s="133">
        <f t="shared" si="77"/>
        <v>0</v>
      </c>
      <c r="G1523" s="131" t="s">
        <v>5825</v>
      </c>
      <c r="H1523" s="147"/>
      <c r="I1523" s="136"/>
      <c r="J1523" s="136"/>
      <c r="K1523" s="136"/>
      <c r="L1523" s="136"/>
    </row>
    <row r="1524">
      <c r="A1524" s="136"/>
      <c r="B1524" s="131" t="s">
        <v>5771</v>
      </c>
      <c r="C1524" s="146" t="s">
        <v>5826</v>
      </c>
      <c r="D1524" s="140" t="s">
        <v>31</v>
      </c>
      <c r="E1524" s="132"/>
      <c r="F1524" s="133">
        <f t="shared" si="77"/>
        <v>0</v>
      </c>
      <c r="G1524" s="131" t="s">
        <v>5827</v>
      </c>
      <c r="H1524" s="147"/>
      <c r="I1524" s="136"/>
      <c r="J1524" s="136"/>
      <c r="K1524" s="136"/>
      <c r="L1524" s="136"/>
    </row>
    <row r="1525">
      <c r="A1525" s="136"/>
      <c r="B1525" s="131" t="s">
        <v>5771</v>
      </c>
      <c r="C1525" s="146" t="s">
        <v>5828</v>
      </c>
      <c r="D1525" s="140" t="s">
        <v>31</v>
      </c>
      <c r="E1525" s="132"/>
      <c r="F1525" s="133">
        <f t="shared" si="77"/>
        <v>0</v>
      </c>
      <c r="G1525" s="131" t="s">
        <v>5829</v>
      </c>
      <c r="H1525" s="147"/>
      <c r="I1525" s="136"/>
      <c r="J1525" s="136"/>
      <c r="K1525" s="136"/>
      <c r="L1525" s="136"/>
    </row>
    <row r="1526" ht="16.5" customHeight="1">
      <c r="A1526" s="136"/>
      <c r="B1526" s="131" t="s">
        <v>5771</v>
      </c>
      <c r="C1526" s="146" t="s">
        <v>5830</v>
      </c>
      <c r="D1526" s="140" t="s">
        <v>31</v>
      </c>
      <c r="E1526" s="132"/>
      <c r="F1526" s="133">
        <f t="shared" si="77"/>
        <v>0</v>
      </c>
      <c r="G1526" s="131" t="s">
        <v>5831</v>
      </c>
      <c r="H1526" s="147"/>
      <c r="I1526" s="136"/>
      <c r="J1526" s="136"/>
      <c r="K1526" s="136"/>
      <c r="L1526" s="136"/>
    </row>
    <row r="1527" ht="16.5" customHeight="1">
      <c r="A1527" s="136"/>
      <c r="B1527" s="131" t="s">
        <v>5771</v>
      </c>
      <c r="C1527" s="146" t="s">
        <v>5832</v>
      </c>
      <c r="D1527" s="140" t="s">
        <v>31</v>
      </c>
      <c r="E1527" s="132"/>
      <c r="F1527" s="133">
        <f t="shared" si="77"/>
        <v>0</v>
      </c>
      <c r="G1527" s="131" t="s">
        <v>5833</v>
      </c>
      <c r="H1527" s="147"/>
      <c r="I1527" s="136"/>
      <c r="J1527" s="136"/>
      <c r="K1527" s="136"/>
      <c r="L1527" s="136"/>
    </row>
    <row r="1528" ht="16.5" customHeight="1">
      <c r="A1528" s="136"/>
      <c r="B1528" s="131" t="s">
        <v>5771</v>
      </c>
      <c r="C1528" s="146" t="s">
        <v>5834</v>
      </c>
      <c r="D1528" s="140" t="s">
        <v>31</v>
      </c>
      <c r="E1528" s="132"/>
      <c r="F1528" s="133">
        <f t="shared" si="77"/>
        <v>0</v>
      </c>
      <c r="G1528" s="131" t="s">
        <v>5835</v>
      </c>
      <c r="H1528" s="147"/>
      <c r="I1528" s="136"/>
      <c r="J1528" s="136"/>
      <c r="K1528" s="136"/>
      <c r="L1528" s="136"/>
    </row>
    <row r="1529">
      <c r="A1529" s="136"/>
      <c r="B1529" s="131" t="s">
        <v>5771</v>
      </c>
      <c r="C1529" s="146" t="s">
        <v>5836</v>
      </c>
      <c r="D1529" s="140" t="s">
        <v>31</v>
      </c>
      <c r="E1529" s="132"/>
      <c r="F1529" s="133">
        <f t="shared" si="77"/>
        <v>0</v>
      </c>
      <c r="G1529" s="131" t="s">
        <v>5837</v>
      </c>
      <c r="H1529" s="147"/>
      <c r="I1529" s="136"/>
      <c r="J1529" s="136"/>
      <c r="K1529" s="136"/>
      <c r="L1529" s="136"/>
    </row>
    <row r="1530">
      <c r="A1530" s="136"/>
      <c r="B1530" s="131" t="s">
        <v>5771</v>
      </c>
      <c r="C1530" s="146" t="s">
        <v>5838</v>
      </c>
      <c r="D1530" s="140" t="s">
        <v>31</v>
      </c>
      <c r="E1530" s="132"/>
      <c r="F1530" s="133">
        <f t="shared" si="77"/>
        <v>0</v>
      </c>
      <c r="G1530" s="131" t="s">
        <v>5839</v>
      </c>
      <c r="H1530" s="147"/>
      <c r="I1530" s="136"/>
      <c r="J1530" s="136"/>
      <c r="K1530" s="136"/>
      <c r="L1530" s="136"/>
    </row>
    <row r="1531">
      <c r="A1531" s="136"/>
      <c r="B1531" s="131" t="s">
        <v>5771</v>
      </c>
      <c r="C1531" s="148" t="s">
        <v>5840</v>
      </c>
      <c r="D1531" s="140" t="s">
        <v>31</v>
      </c>
      <c r="E1531" s="132"/>
      <c r="F1531" s="133">
        <f t="shared" si="77"/>
        <v>0</v>
      </c>
      <c r="G1531" s="131" t="s">
        <v>5841</v>
      </c>
      <c r="H1531" s="147"/>
      <c r="I1531" s="136"/>
      <c r="J1531" s="136"/>
      <c r="K1531" s="136"/>
      <c r="L1531" s="136"/>
    </row>
    <row r="1532">
      <c r="A1532" s="136"/>
      <c r="B1532" s="131" t="s">
        <v>5771</v>
      </c>
      <c r="C1532" s="148" t="s">
        <v>5842</v>
      </c>
      <c r="D1532" s="140" t="s">
        <v>31</v>
      </c>
      <c r="E1532" s="132"/>
      <c r="F1532" s="133">
        <f t="shared" si="77"/>
        <v>0</v>
      </c>
      <c r="G1532" s="131" t="s">
        <v>5843</v>
      </c>
      <c r="H1532" s="147"/>
      <c r="I1532" s="136"/>
      <c r="J1532" s="136"/>
      <c r="K1532" s="136"/>
      <c r="L1532" s="136"/>
    </row>
    <row r="1533">
      <c r="A1533" s="136"/>
      <c r="B1533" s="131" t="s">
        <v>5771</v>
      </c>
      <c r="C1533" s="140" t="s">
        <v>5844</v>
      </c>
      <c r="D1533" s="140" t="s">
        <v>31</v>
      </c>
      <c r="E1533" s="132" t="s">
        <v>5845</v>
      </c>
      <c r="F1533" s="133">
        <f t="shared" si="77"/>
        <v>0</v>
      </c>
      <c r="G1533" s="131" t="s">
        <v>5846</v>
      </c>
      <c r="H1533" s="147"/>
      <c r="I1533" s="136"/>
      <c r="J1533" s="136"/>
      <c r="K1533" s="136"/>
      <c r="L1533" s="136"/>
    </row>
    <row r="1534">
      <c r="B1534" s="12"/>
      <c r="C1534" s="61"/>
      <c r="D1534" s="61"/>
      <c r="E1534" s="137"/>
      <c r="F1534" s="14"/>
      <c r="G1534" s="12"/>
      <c r="H1534" s="145"/>
    </row>
    <row r="1535">
      <c r="A1535" s="129" t="s">
        <v>5591</v>
      </c>
      <c r="B1535" s="131" t="s">
        <v>5847</v>
      </c>
      <c r="C1535" s="131" t="s">
        <v>5848</v>
      </c>
      <c r="D1535" s="131" t="s">
        <v>2897</v>
      </c>
      <c r="E1535" s="132"/>
      <c r="F1535" s="133">
        <f t="shared" ref="F1535:F1594" si="78">counta(I1535:J1535)</f>
        <v>0</v>
      </c>
      <c r="G1535" s="131" t="s">
        <v>5849</v>
      </c>
      <c r="H1535" s="147"/>
      <c r="I1535" s="136"/>
      <c r="J1535" s="136"/>
      <c r="K1535" s="136"/>
      <c r="L1535" s="136"/>
    </row>
    <row r="1536">
      <c r="A1536" s="136"/>
      <c r="B1536" s="131" t="s">
        <v>5847</v>
      </c>
      <c r="C1536" s="131" t="s">
        <v>5850</v>
      </c>
      <c r="D1536" s="140" t="s">
        <v>483</v>
      </c>
      <c r="E1536" s="132"/>
      <c r="F1536" s="133">
        <f t="shared" si="78"/>
        <v>0</v>
      </c>
      <c r="G1536" s="131" t="s">
        <v>5851</v>
      </c>
      <c r="H1536" s="147"/>
      <c r="I1536" s="136"/>
      <c r="J1536" s="136"/>
      <c r="K1536" s="136"/>
      <c r="L1536" s="136"/>
    </row>
    <row r="1537">
      <c r="A1537" s="136"/>
      <c r="B1537" s="131" t="s">
        <v>5847</v>
      </c>
      <c r="C1537" s="140" t="s">
        <v>5852</v>
      </c>
      <c r="D1537" s="140" t="s">
        <v>483</v>
      </c>
      <c r="E1537" s="132"/>
      <c r="F1537" s="133">
        <f t="shared" si="78"/>
        <v>0</v>
      </c>
      <c r="G1537" s="131" t="s">
        <v>5853</v>
      </c>
      <c r="H1537" s="147"/>
      <c r="I1537" s="136"/>
      <c r="J1537" s="136"/>
      <c r="K1537" s="136"/>
      <c r="L1537" s="136"/>
    </row>
    <row r="1538">
      <c r="A1538" s="129"/>
      <c r="B1538" s="131" t="s">
        <v>5847</v>
      </c>
      <c r="C1538" s="131" t="s">
        <v>5854</v>
      </c>
      <c r="D1538" s="131" t="s">
        <v>5854</v>
      </c>
      <c r="E1538" s="139" t="s">
        <v>5855</v>
      </c>
      <c r="F1538" s="133">
        <f t="shared" si="78"/>
        <v>2</v>
      </c>
      <c r="G1538" s="131" t="s">
        <v>5856</v>
      </c>
      <c r="H1538" s="134"/>
      <c r="I1538" s="135" t="s">
        <v>5857</v>
      </c>
      <c r="J1538" s="135" t="s">
        <v>5858</v>
      </c>
      <c r="K1538" s="136"/>
      <c r="L1538" s="136"/>
    </row>
    <row r="1539">
      <c r="A1539" s="129"/>
      <c r="B1539" s="131" t="s">
        <v>5847</v>
      </c>
      <c r="C1539" s="131" t="s">
        <v>5859</v>
      </c>
      <c r="D1539" s="131" t="s">
        <v>31</v>
      </c>
      <c r="E1539" s="139" t="s">
        <v>5860</v>
      </c>
      <c r="F1539" s="133">
        <f t="shared" si="78"/>
        <v>2</v>
      </c>
      <c r="G1539" s="131" t="s">
        <v>5861</v>
      </c>
      <c r="H1539" s="134"/>
      <c r="I1539" s="135" t="s">
        <v>5862</v>
      </c>
      <c r="J1539" s="135" t="s">
        <v>5863</v>
      </c>
      <c r="K1539" s="136"/>
      <c r="L1539" s="136"/>
    </row>
    <row r="1540">
      <c r="A1540" s="129"/>
      <c r="B1540" s="131" t="s">
        <v>5847</v>
      </c>
      <c r="C1540" s="131" t="s">
        <v>3132</v>
      </c>
      <c r="D1540" s="131" t="s">
        <v>3132</v>
      </c>
      <c r="E1540" s="139" t="s">
        <v>5864</v>
      </c>
      <c r="F1540" s="133">
        <f t="shared" si="78"/>
        <v>1</v>
      </c>
      <c r="G1540" s="131" t="s">
        <v>3134</v>
      </c>
      <c r="H1540" s="134"/>
      <c r="I1540" s="140"/>
      <c r="J1540" s="135" t="s">
        <v>5865</v>
      </c>
      <c r="K1540" s="136"/>
      <c r="L1540" s="136"/>
    </row>
    <row r="1541">
      <c r="A1541" s="129"/>
      <c r="B1541" s="131" t="s">
        <v>5847</v>
      </c>
      <c r="C1541" s="131" t="s">
        <v>2897</v>
      </c>
      <c r="D1541" s="131" t="s">
        <v>2897</v>
      </c>
      <c r="E1541" s="139" t="s">
        <v>5866</v>
      </c>
      <c r="F1541" s="133">
        <f t="shared" si="78"/>
        <v>2</v>
      </c>
      <c r="G1541" s="131" t="s">
        <v>3395</v>
      </c>
      <c r="H1541" s="134"/>
      <c r="I1541" s="135" t="s">
        <v>5867</v>
      </c>
      <c r="J1541" s="135" t="s">
        <v>5868</v>
      </c>
      <c r="K1541" s="136"/>
      <c r="L1541" s="136"/>
    </row>
    <row r="1542">
      <c r="A1542" s="129"/>
      <c r="B1542" s="131" t="s">
        <v>5847</v>
      </c>
      <c r="C1542" s="131" t="s">
        <v>2856</v>
      </c>
      <c r="D1542" s="131" t="s">
        <v>26</v>
      </c>
      <c r="E1542" s="139"/>
      <c r="F1542" s="133">
        <f t="shared" si="78"/>
        <v>1</v>
      </c>
      <c r="G1542" s="131" t="s">
        <v>2858</v>
      </c>
      <c r="H1542" s="134"/>
      <c r="I1542" s="135" t="s">
        <v>5869</v>
      </c>
      <c r="J1542" s="140"/>
      <c r="K1542" s="136"/>
      <c r="L1542" s="136"/>
    </row>
    <row r="1543">
      <c r="A1543" s="129"/>
      <c r="B1543" s="131" t="s">
        <v>5847</v>
      </c>
      <c r="C1543" s="131" t="s">
        <v>2860</v>
      </c>
      <c r="D1543" s="131" t="s">
        <v>145</v>
      </c>
      <c r="E1543" s="139"/>
      <c r="F1543" s="133">
        <f t="shared" si="78"/>
        <v>1</v>
      </c>
      <c r="G1543" s="131" t="s">
        <v>2862</v>
      </c>
      <c r="H1543" s="134"/>
      <c r="I1543" s="135" t="s">
        <v>5870</v>
      </c>
      <c r="J1543" s="140"/>
      <c r="K1543" s="136"/>
      <c r="L1543" s="136"/>
    </row>
    <row r="1544">
      <c r="A1544" s="129"/>
      <c r="B1544" s="131" t="s">
        <v>5847</v>
      </c>
      <c r="C1544" s="131" t="s">
        <v>5871</v>
      </c>
      <c r="D1544" s="131" t="s">
        <v>40</v>
      </c>
      <c r="E1544" s="139"/>
      <c r="F1544" s="133">
        <f t="shared" si="78"/>
        <v>1</v>
      </c>
      <c r="G1544" s="131" t="s">
        <v>5872</v>
      </c>
      <c r="H1544" s="134"/>
      <c r="I1544" s="135" t="s">
        <v>5873</v>
      </c>
      <c r="J1544" s="140"/>
      <c r="K1544" s="136"/>
      <c r="L1544" s="136"/>
    </row>
    <row r="1545">
      <c r="A1545" s="129"/>
      <c r="B1545" s="131" t="s">
        <v>5847</v>
      </c>
      <c r="C1545" s="131" t="s">
        <v>5874</v>
      </c>
      <c r="D1545" s="131" t="s">
        <v>40</v>
      </c>
      <c r="E1545" s="139"/>
      <c r="F1545" s="133">
        <f t="shared" si="78"/>
        <v>1</v>
      </c>
      <c r="G1545" s="131" t="s">
        <v>5875</v>
      </c>
      <c r="H1545" s="134"/>
      <c r="I1545" s="135" t="s">
        <v>5876</v>
      </c>
      <c r="J1545" s="140"/>
      <c r="K1545" s="136"/>
      <c r="L1545" s="136"/>
    </row>
    <row r="1546">
      <c r="A1546" s="129"/>
      <c r="B1546" s="131" t="s">
        <v>5847</v>
      </c>
      <c r="C1546" s="131" t="s">
        <v>5877</v>
      </c>
      <c r="D1546" s="131" t="s">
        <v>40</v>
      </c>
      <c r="E1546" s="139" t="s">
        <v>5878</v>
      </c>
      <c r="F1546" s="133">
        <f t="shared" si="78"/>
        <v>1</v>
      </c>
      <c r="G1546" s="131" t="s">
        <v>5879</v>
      </c>
      <c r="H1546" s="134"/>
      <c r="I1546" s="140"/>
      <c r="J1546" s="135" t="s">
        <v>5880</v>
      </c>
      <c r="K1546" s="136"/>
      <c r="L1546" s="136"/>
    </row>
    <row r="1547">
      <c r="A1547" s="129"/>
      <c r="B1547" s="131" t="s">
        <v>5847</v>
      </c>
      <c r="C1547" s="131" t="s">
        <v>5881</v>
      </c>
      <c r="D1547" s="131" t="s">
        <v>40</v>
      </c>
      <c r="E1547" s="139" t="s">
        <v>5882</v>
      </c>
      <c r="F1547" s="133">
        <f t="shared" si="78"/>
        <v>1</v>
      </c>
      <c r="G1547" s="131" t="s">
        <v>5883</v>
      </c>
      <c r="H1547" s="134"/>
      <c r="I1547" s="140"/>
      <c r="J1547" s="135" t="s">
        <v>5884</v>
      </c>
      <c r="K1547" s="136"/>
      <c r="L1547" s="136"/>
    </row>
    <row r="1548">
      <c r="A1548" s="129"/>
      <c r="B1548" s="131" t="s">
        <v>5847</v>
      </c>
      <c r="C1548" s="131" t="s">
        <v>5885</v>
      </c>
      <c r="D1548" s="131" t="s">
        <v>5886</v>
      </c>
      <c r="E1548" s="139" t="s">
        <v>5887</v>
      </c>
      <c r="F1548" s="133">
        <f t="shared" si="78"/>
        <v>1</v>
      </c>
      <c r="G1548" s="131" t="s">
        <v>5888</v>
      </c>
      <c r="H1548" s="134"/>
      <c r="I1548" s="140"/>
      <c r="J1548" s="135" t="s">
        <v>5889</v>
      </c>
      <c r="K1548" s="136"/>
      <c r="L1548" s="136"/>
    </row>
    <row r="1549">
      <c r="A1549" s="129"/>
      <c r="B1549" s="131" t="s">
        <v>5847</v>
      </c>
      <c r="C1549" s="131" t="s">
        <v>5890</v>
      </c>
      <c r="D1549" s="131" t="s">
        <v>40</v>
      </c>
      <c r="E1549" s="139" t="s">
        <v>5891</v>
      </c>
      <c r="F1549" s="133">
        <f t="shared" si="78"/>
        <v>1</v>
      </c>
      <c r="G1549" s="131" t="s">
        <v>5892</v>
      </c>
      <c r="H1549" s="134"/>
      <c r="I1549" s="140"/>
      <c r="J1549" s="135" t="s">
        <v>5893</v>
      </c>
      <c r="K1549" s="136"/>
      <c r="L1549" s="136"/>
    </row>
    <row r="1550">
      <c r="A1550" s="129"/>
      <c r="B1550" s="131" t="s">
        <v>5847</v>
      </c>
      <c r="C1550" s="131" t="s">
        <v>5894</v>
      </c>
      <c r="D1550" s="131" t="s">
        <v>5895</v>
      </c>
      <c r="E1550" s="139" t="s">
        <v>5896</v>
      </c>
      <c r="F1550" s="133">
        <f t="shared" si="78"/>
        <v>1</v>
      </c>
      <c r="G1550" s="131" t="s">
        <v>5897</v>
      </c>
      <c r="H1550" s="134"/>
      <c r="I1550" s="140"/>
      <c r="J1550" s="135" t="s">
        <v>5898</v>
      </c>
      <c r="K1550" s="136"/>
      <c r="L1550" s="136"/>
    </row>
    <row r="1551">
      <c r="A1551" s="129"/>
      <c r="B1551" s="131" t="s">
        <v>5847</v>
      </c>
      <c r="C1551" s="131" t="s">
        <v>5899</v>
      </c>
      <c r="D1551" s="131" t="s">
        <v>5895</v>
      </c>
      <c r="E1551" s="139" t="s">
        <v>5900</v>
      </c>
      <c r="F1551" s="133">
        <f t="shared" si="78"/>
        <v>1</v>
      </c>
      <c r="G1551" s="131" t="s">
        <v>5901</v>
      </c>
      <c r="H1551" s="134"/>
      <c r="I1551" s="140"/>
      <c r="J1551" s="135" t="s">
        <v>5902</v>
      </c>
      <c r="K1551" s="136"/>
      <c r="L1551" s="136"/>
    </row>
    <row r="1552">
      <c r="A1552" s="129"/>
      <c r="B1552" s="131" t="s">
        <v>5847</v>
      </c>
      <c r="C1552" s="131" t="s">
        <v>5903</v>
      </c>
      <c r="D1552" s="131" t="s">
        <v>5895</v>
      </c>
      <c r="E1552" s="139" t="s">
        <v>5904</v>
      </c>
      <c r="F1552" s="133">
        <f t="shared" si="78"/>
        <v>1</v>
      </c>
      <c r="G1552" s="131" t="s">
        <v>5905</v>
      </c>
      <c r="H1552" s="134"/>
      <c r="I1552" s="140"/>
      <c r="J1552" s="135" t="s">
        <v>5906</v>
      </c>
      <c r="K1552" s="136"/>
      <c r="L1552" s="136"/>
    </row>
    <row r="1553">
      <c r="A1553" s="129"/>
      <c r="B1553" s="131" t="s">
        <v>5847</v>
      </c>
      <c r="C1553" s="131" t="s">
        <v>5907</v>
      </c>
      <c r="D1553" s="131" t="s">
        <v>5895</v>
      </c>
      <c r="E1553" s="139" t="s">
        <v>5908</v>
      </c>
      <c r="F1553" s="133">
        <f t="shared" si="78"/>
        <v>1</v>
      </c>
      <c r="G1553" s="131" t="s">
        <v>5909</v>
      </c>
      <c r="H1553" s="134"/>
      <c r="I1553" s="140"/>
      <c r="J1553" s="135" t="s">
        <v>5910</v>
      </c>
      <c r="K1553" s="136"/>
      <c r="L1553" s="136"/>
    </row>
    <row r="1554">
      <c r="A1554" s="129"/>
      <c r="B1554" s="131" t="s">
        <v>5847</v>
      </c>
      <c r="C1554" s="131" t="s">
        <v>5911</v>
      </c>
      <c r="D1554" s="131" t="s">
        <v>5895</v>
      </c>
      <c r="E1554" s="139" t="s">
        <v>5912</v>
      </c>
      <c r="F1554" s="133">
        <f t="shared" si="78"/>
        <v>1</v>
      </c>
      <c r="G1554" s="131" t="s">
        <v>5913</v>
      </c>
      <c r="H1554" s="134"/>
      <c r="I1554" s="140"/>
      <c r="J1554" s="135" t="s">
        <v>5914</v>
      </c>
      <c r="K1554" s="136"/>
      <c r="L1554" s="136"/>
    </row>
    <row r="1555">
      <c r="A1555" s="129"/>
      <c r="B1555" s="131" t="s">
        <v>5847</v>
      </c>
      <c r="C1555" s="131" t="s">
        <v>5915</v>
      </c>
      <c r="D1555" s="131" t="s">
        <v>5895</v>
      </c>
      <c r="E1555" s="139" t="s">
        <v>5916</v>
      </c>
      <c r="F1555" s="133">
        <f t="shared" si="78"/>
        <v>1</v>
      </c>
      <c r="G1555" s="131" t="s">
        <v>5917</v>
      </c>
      <c r="H1555" s="134"/>
      <c r="I1555" s="140"/>
      <c r="J1555" s="135" t="s">
        <v>5918</v>
      </c>
      <c r="K1555" s="136"/>
      <c r="L1555" s="136"/>
    </row>
    <row r="1556">
      <c r="A1556" s="129"/>
      <c r="B1556" s="131" t="s">
        <v>5847</v>
      </c>
      <c r="C1556" s="131" t="s">
        <v>5919</v>
      </c>
      <c r="D1556" s="131" t="s">
        <v>5895</v>
      </c>
      <c r="E1556" s="139" t="s">
        <v>5920</v>
      </c>
      <c r="F1556" s="133">
        <f t="shared" si="78"/>
        <v>1</v>
      </c>
      <c r="G1556" s="131" t="s">
        <v>5919</v>
      </c>
      <c r="H1556" s="134"/>
      <c r="I1556" s="140"/>
      <c r="J1556" s="135" t="s">
        <v>5919</v>
      </c>
      <c r="K1556" s="136"/>
      <c r="L1556" s="136"/>
    </row>
    <row r="1557">
      <c r="A1557" s="129"/>
      <c r="B1557" s="131" t="s">
        <v>5847</v>
      </c>
      <c r="C1557" s="131" t="s">
        <v>5921</v>
      </c>
      <c r="D1557" s="131" t="s">
        <v>5895</v>
      </c>
      <c r="E1557" s="139" t="s">
        <v>5922</v>
      </c>
      <c r="F1557" s="133">
        <f t="shared" si="78"/>
        <v>1</v>
      </c>
      <c r="G1557" s="131" t="s">
        <v>5923</v>
      </c>
      <c r="H1557" s="134"/>
      <c r="I1557" s="140"/>
      <c r="J1557" s="135" t="s">
        <v>5924</v>
      </c>
      <c r="K1557" s="136"/>
      <c r="L1557" s="136"/>
    </row>
    <row r="1558">
      <c r="A1558" s="129"/>
      <c r="B1558" s="131" t="s">
        <v>5847</v>
      </c>
      <c r="C1558" s="131" t="s">
        <v>5925</v>
      </c>
      <c r="D1558" s="131" t="s">
        <v>5925</v>
      </c>
      <c r="E1558" s="139" t="s">
        <v>5926</v>
      </c>
      <c r="F1558" s="133">
        <f t="shared" si="78"/>
        <v>1</v>
      </c>
      <c r="G1558" s="131" t="s">
        <v>5925</v>
      </c>
      <c r="H1558" s="134"/>
      <c r="I1558" s="140"/>
      <c r="J1558" s="135" t="s">
        <v>5927</v>
      </c>
      <c r="K1558" s="136"/>
      <c r="L1558" s="136"/>
    </row>
    <row r="1559">
      <c r="A1559" s="129"/>
      <c r="B1559" s="131" t="s">
        <v>5847</v>
      </c>
      <c r="C1559" s="131" t="s">
        <v>5928</v>
      </c>
      <c r="D1559" s="131" t="s">
        <v>5895</v>
      </c>
      <c r="E1559" s="139" t="s">
        <v>5929</v>
      </c>
      <c r="F1559" s="133">
        <f t="shared" si="78"/>
        <v>1</v>
      </c>
      <c r="G1559" s="131" t="s">
        <v>5930</v>
      </c>
      <c r="H1559" s="134"/>
      <c r="I1559" s="140"/>
      <c r="J1559" s="135" t="s">
        <v>5931</v>
      </c>
      <c r="K1559" s="136"/>
      <c r="L1559" s="136"/>
    </row>
    <row r="1560">
      <c r="A1560" s="129"/>
      <c r="B1560" s="131" t="s">
        <v>5847</v>
      </c>
      <c r="C1560" s="131" t="s">
        <v>5932</v>
      </c>
      <c r="D1560" s="131" t="s">
        <v>5895</v>
      </c>
      <c r="E1560" s="139" t="s">
        <v>5933</v>
      </c>
      <c r="F1560" s="133">
        <f t="shared" si="78"/>
        <v>1</v>
      </c>
      <c r="G1560" s="131" t="s">
        <v>5934</v>
      </c>
      <c r="H1560" s="134"/>
      <c r="I1560" s="140"/>
      <c r="J1560" s="135" t="s">
        <v>5935</v>
      </c>
      <c r="K1560" s="136"/>
      <c r="L1560" s="136"/>
    </row>
    <row r="1561">
      <c r="A1561" s="129"/>
      <c r="B1561" s="131" t="s">
        <v>5847</v>
      </c>
      <c r="C1561" s="131" t="s">
        <v>5936</v>
      </c>
      <c r="D1561" s="131" t="s">
        <v>5937</v>
      </c>
      <c r="E1561" s="139" t="s">
        <v>5938</v>
      </c>
      <c r="F1561" s="133">
        <f t="shared" si="78"/>
        <v>1</v>
      </c>
      <c r="G1561" s="131" t="s">
        <v>5939</v>
      </c>
      <c r="H1561" s="134"/>
      <c r="I1561" s="140"/>
      <c r="J1561" s="135" t="s">
        <v>5940</v>
      </c>
      <c r="K1561" s="136"/>
      <c r="L1561" s="136"/>
    </row>
    <row r="1562">
      <c r="A1562" s="129"/>
      <c r="B1562" s="131" t="s">
        <v>5847</v>
      </c>
      <c r="C1562" s="131" t="s">
        <v>5941</v>
      </c>
      <c r="D1562" s="131" t="s">
        <v>5895</v>
      </c>
      <c r="E1562" s="139" t="s">
        <v>5942</v>
      </c>
      <c r="F1562" s="133">
        <f t="shared" si="78"/>
        <v>1</v>
      </c>
      <c r="G1562" s="131" t="s">
        <v>5943</v>
      </c>
      <c r="H1562" s="134"/>
      <c r="I1562" s="140"/>
      <c r="J1562" s="135" t="s">
        <v>5944</v>
      </c>
      <c r="K1562" s="136"/>
      <c r="L1562" s="136"/>
    </row>
    <row r="1563">
      <c r="A1563" s="129"/>
      <c r="B1563" s="131" t="s">
        <v>5847</v>
      </c>
      <c r="C1563" s="131" t="s">
        <v>5945</v>
      </c>
      <c r="D1563" s="131" t="s">
        <v>5895</v>
      </c>
      <c r="E1563" s="139" t="s">
        <v>5946</v>
      </c>
      <c r="F1563" s="133">
        <f t="shared" si="78"/>
        <v>1</v>
      </c>
      <c r="G1563" s="131" t="s">
        <v>5947</v>
      </c>
      <c r="H1563" s="134"/>
      <c r="I1563" s="140"/>
      <c r="J1563" s="135" t="s">
        <v>5948</v>
      </c>
      <c r="K1563" s="136"/>
      <c r="L1563" s="136"/>
    </row>
    <row r="1564">
      <c r="A1564" s="129"/>
      <c r="B1564" s="131" t="s">
        <v>5847</v>
      </c>
      <c r="C1564" s="131" t="s">
        <v>5949</v>
      </c>
      <c r="D1564" s="131" t="s">
        <v>5895</v>
      </c>
      <c r="E1564" s="139" t="s">
        <v>5950</v>
      </c>
      <c r="F1564" s="133">
        <f t="shared" si="78"/>
        <v>1</v>
      </c>
      <c r="G1564" s="131" t="s">
        <v>5951</v>
      </c>
      <c r="H1564" s="134"/>
      <c r="I1564" s="140"/>
      <c r="J1564" s="135" t="s">
        <v>5952</v>
      </c>
      <c r="K1564" s="136"/>
      <c r="L1564" s="136"/>
    </row>
    <row r="1565">
      <c r="A1565" s="129"/>
      <c r="B1565" s="131" t="s">
        <v>5847</v>
      </c>
      <c r="C1565" s="131" t="s">
        <v>5953</v>
      </c>
      <c r="D1565" s="131" t="s">
        <v>5937</v>
      </c>
      <c r="E1565" s="139" t="s">
        <v>5954</v>
      </c>
      <c r="F1565" s="133">
        <f t="shared" si="78"/>
        <v>1</v>
      </c>
      <c r="G1565" s="131" t="s">
        <v>5953</v>
      </c>
      <c r="H1565" s="134"/>
      <c r="I1565" s="140"/>
      <c r="J1565" s="135" t="s">
        <v>5955</v>
      </c>
      <c r="K1565" s="136"/>
      <c r="L1565" s="136"/>
    </row>
    <row r="1566">
      <c r="A1566" s="129"/>
      <c r="B1566" s="131" t="s">
        <v>5847</v>
      </c>
      <c r="C1566" s="131" t="s">
        <v>5956</v>
      </c>
      <c r="D1566" s="131" t="s">
        <v>5956</v>
      </c>
      <c r="E1566" s="139" t="s">
        <v>5957</v>
      </c>
      <c r="F1566" s="133">
        <f t="shared" si="78"/>
        <v>1</v>
      </c>
      <c r="G1566" s="131" t="s">
        <v>5958</v>
      </c>
      <c r="H1566" s="134"/>
      <c r="I1566" s="140"/>
      <c r="J1566" s="135" t="s">
        <v>5959</v>
      </c>
      <c r="K1566" s="136"/>
      <c r="L1566" s="136"/>
    </row>
    <row r="1567">
      <c r="A1567" s="129"/>
      <c r="B1567" s="131" t="s">
        <v>5847</v>
      </c>
      <c r="C1567" s="131" t="s">
        <v>5960</v>
      </c>
      <c r="D1567" s="131" t="s">
        <v>5960</v>
      </c>
      <c r="E1567" s="139" t="s">
        <v>5961</v>
      </c>
      <c r="F1567" s="133">
        <f t="shared" si="78"/>
        <v>1</v>
      </c>
      <c r="G1567" s="131" t="s">
        <v>5962</v>
      </c>
      <c r="H1567" s="134"/>
      <c r="I1567" s="149"/>
      <c r="J1567" s="135" t="s">
        <v>5963</v>
      </c>
      <c r="K1567" s="136"/>
      <c r="L1567" s="136"/>
    </row>
    <row r="1568">
      <c r="A1568" s="129"/>
      <c r="B1568" s="131" t="s">
        <v>5847</v>
      </c>
      <c r="C1568" s="131" t="s">
        <v>5964</v>
      </c>
      <c r="D1568" s="131" t="s">
        <v>5964</v>
      </c>
      <c r="E1568" s="139" t="s">
        <v>5965</v>
      </c>
      <c r="F1568" s="133">
        <f t="shared" si="78"/>
        <v>1</v>
      </c>
      <c r="G1568" s="131" t="s">
        <v>5964</v>
      </c>
      <c r="H1568" s="134"/>
      <c r="I1568" s="140"/>
      <c r="J1568" s="135" t="s">
        <v>5966</v>
      </c>
      <c r="K1568" s="136"/>
      <c r="L1568" s="136"/>
    </row>
    <row r="1569">
      <c r="A1569" s="129"/>
      <c r="B1569" s="131" t="s">
        <v>5847</v>
      </c>
      <c r="C1569" s="131" t="s">
        <v>5967</v>
      </c>
      <c r="D1569" s="131" t="s">
        <v>5967</v>
      </c>
      <c r="E1569" s="139" t="s">
        <v>5968</v>
      </c>
      <c r="F1569" s="133">
        <f t="shared" si="78"/>
        <v>1</v>
      </c>
      <c r="G1569" s="131" t="s">
        <v>5969</v>
      </c>
      <c r="H1569" s="134"/>
      <c r="I1569" s="140"/>
      <c r="J1569" s="135" t="s">
        <v>5970</v>
      </c>
      <c r="K1569" s="136"/>
      <c r="L1569" s="136"/>
    </row>
    <row r="1570">
      <c r="A1570" s="129"/>
      <c r="B1570" s="131" t="s">
        <v>5847</v>
      </c>
      <c r="C1570" s="131" t="s">
        <v>5971</v>
      </c>
      <c r="D1570" s="131" t="s">
        <v>5895</v>
      </c>
      <c r="E1570" s="139" t="s">
        <v>5972</v>
      </c>
      <c r="F1570" s="133">
        <f t="shared" si="78"/>
        <v>1</v>
      </c>
      <c r="G1570" s="131" t="s">
        <v>5973</v>
      </c>
      <c r="H1570" s="134"/>
      <c r="I1570" s="140"/>
      <c r="J1570" s="135" t="s">
        <v>5974</v>
      </c>
      <c r="K1570" s="136"/>
      <c r="L1570" s="136"/>
    </row>
    <row r="1571">
      <c r="A1571" s="129"/>
      <c r="B1571" s="131" t="s">
        <v>5847</v>
      </c>
      <c r="C1571" s="131" t="s">
        <v>5975</v>
      </c>
      <c r="D1571" s="131" t="s">
        <v>5895</v>
      </c>
      <c r="E1571" s="139" t="s">
        <v>5976</v>
      </c>
      <c r="F1571" s="133">
        <f t="shared" si="78"/>
        <v>1</v>
      </c>
      <c r="G1571" s="131" t="s">
        <v>5977</v>
      </c>
      <c r="H1571" s="134"/>
      <c r="I1571" s="140"/>
      <c r="J1571" s="135" t="s">
        <v>5978</v>
      </c>
      <c r="K1571" s="136"/>
      <c r="L1571" s="136"/>
    </row>
    <row r="1572">
      <c r="A1572" s="129"/>
      <c r="B1572" s="131" t="s">
        <v>5847</v>
      </c>
      <c r="C1572" s="131" t="s">
        <v>5979</v>
      </c>
      <c r="D1572" s="131" t="s">
        <v>5895</v>
      </c>
      <c r="E1572" s="139" t="s">
        <v>5980</v>
      </c>
      <c r="F1572" s="133">
        <f t="shared" si="78"/>
        <v>1</v>
      </c>
      <c r="G1572" s="131" t="s">
        <v>5981</v>
      </c>
      <c r="H1572" s="134"/>
      <c r="I1572" s="140"/>
      <c r="J1572" s="135" t="s">
        <v>5982</v>
      </c>
      <c r="K1572" s="136"/>
      <c r="L1572" s="136"/>
    </row>
    <row r="1573">
      <c r="A1573" s="129"/>
      <c r="B1573" s="131" t="s">
        <v>5847</v>
      </c>
      <c r="C1573" s="131" t="s">
        <v>5983</v>
      </c>
      <c r="D1573" s="131" t="s">
        <v>5895</v>
      </c>
      <c r="E1573" s="139" t="s">
        <v>5984</v>
      </c>
      <c r="F1573" s="133">
        <f t="shared" si="78"/>
        <v>1</v>
      </c>
      <c r="G1573" s="131" t="s">
        <v>5985</v>
      </c>
      <c r="H1573" s="134"/>
      <c r="I1573" s="140"/>
      <c r="J1573" s="135" t="s">
        <v>5986</v>
      </c>
      <c r="K1573" s="136"/>
      <c r="L1573" s="136"/>
    </row>
    <row r="1574">
      <c r="A1574" s="129"/>
      <c r="B1574" s="131" t="s">
        <v>5847</v>
      </c>
      <c r="C1574" s="131" t="s">
        <v>5987</v>
      </c>
      <c r="D1574" s="131" t="s">
        <v>5895</v>
      </c>
      <c r="E1574" s="139" t="s">
        <v>5988</v>
      </c>
      <c r="F1574" s="133">
        <f t="shared" si="78"/>
        <v>1</v>
      </c>
      <c r="G1574" s="131" t="s">
        <v>5989</v>
      </c>
      <c r="H1574" s="134"/>
      <c r="I1574" s="140"/>
      <c r="J1574" s="135" t="s">
        <v>5990</v>
      </c>
      <c r="K1574" s="136"/>
      <c r="L1574" s="136"/>
    </row>
    <row r="1575">
      <c r="A1575" s="129"/>
      <c r="B1575" s="131" t="s">
        <v>5847</v>
      </c>
      <c r="C1575" s="131" t="s">
        <v>5991</v>
      </c>
      <c r="D1575" s="131" t="s">
        <v>5895</v>
      </c>
      <c r="E1575" s="139" t="s">
        <v>5992</v>
      </c>
      <c r="F1575" s="133">
        <f t="shared" si="78"/>
        <v>1</v>
      </c>
      <c r="G1575" s="131" t="s">
        <v>5993</v>
      </c>
      <c r="H1575" s="134"/>
      <c r="I1575" s="140"/>
      <c r="J1575" s="135" t="s">
        <v>5994</v>
      </c>
      <c r="K1575" s="136"/>
      <c r="L1575" s="136"/>
    </row>
    <row r="1576">
      <c r="A1576" s="129"/>
      <c r="B1576" s="131" t="s">
        <v>5847</v>
      </c>
      <c r="C1576" s="131" t="s">
        <v>5995</v>
      </c>
      <c r="D1576" s="131" t="s">
        <v>5895</v>
      </c>
      <c r="E1576" s="139" t="s">
        <v>5996</v>
      </c>
      <c r="F1576" s="133">
        <f t="shared" si="78"/>
        <v>1</v>
      </c>
      <c r="G1576" s="131" t="s">
        <v>5997</v>
      </c>
      <c r="H1576" s="134"/>
      <c r="I1576" s="140"/>
      <c r="J1576" s="135" t="s">
        <v>5998</v>
      </c>
      <c r="K1576" s="136"/>
      <c r="L1576" s="136"/>
    </row>
    <row r="1577">
      <c r="A1577" s="129"/>
      <c r="B1577" s="131" t="s">
        <v>5847</v>
      </c>
      <c r="C1577" s="131" t="s">
        <v>5999</v>
      </c>
      <c r="D1577" s="131" t="s">
        <v>5895</v>
      </c>
      <c r="E1577" s="139" t="s">
        <v>6000</v>
      </c>
      <c r="F1577" s="133">
        <f t="shared" si="78"/>
        <v>1</v>
      </c>
      <c r="G1577" s="131" t="s">
        <v>6001</v>
      </c>
      <c r="H1577" s="134"/>
      <c r="I1577" s="140"/>
      <c r="J1577" s="135" t="s">
        <v>6002</v>
      </c>
      <c r="K1577" s="136"/>
      <c r="L1577" s="136"/>
    </row>
    <row r="1578">
      <c r="A1578" s="129"/>
      <c r="B1578" s="131" t="s">
        <v>5847</v>
      </c>
      <c r="C1578" s="131" t="s">
        <v>6003</v>
      </c>
      <c r="D1578" s="131" t="s">
        <v>5895</v>
      </c>
      <c r="E1578" s="141" t="s">
        <v>6004</v>
      </c>
      <c r="F1578" s="133">
        <f t="shared" si="78"/>
        <v>1</v>
      </c>
      <c r="G1578" s="131" t="s">
        <v>6005</v>
      </c>
      <c r="H1578" s="134"/>
      <c r="I1578" s="140"/>
      <c r="J1578" s="135" t="s">
        <v>6006</v>
      </c>
      <c r="K1578" s="136"/>
      <c r="L1578" s="136"/>
    </row>
    <row r="1579">
      <c r="A1579" s="129"/>
      <c r="B1579" s="131" t="s">
        <v>5847</v>
      </c>
      <c r="C1579" s="131" t="s">
        <v>6007</v>
      </c>
      <c r="D1579" s="131" t="s">
        <v>5895</v>
      </c>
      <c r="E1579" s="139" t="s">
        <v>6008</v>
      </c>
      <c r="F1579" s="133">
        <f t="shared" si="78"/>
        <v>1</v>
      </c>
      <c r="G1579" s="131" t="s">
        <v>6009</v>
      </c>
      <c r="H1579" s="134"/>
      <c r="I1579" s="140"/>
      <c r="J1579" s="135" t="s">
        <v>6010</v>
      </c>
      <c r="K1579" s="136"/>
      <c r="L1579" s="136"/>
    </row>
    <row r="1580">
      <c r="A1580" s="129"/>
      <c r="B1580" s="131" t="s">
        <v>5847</v>
      </c>
      <c r="C1580" s="131" t="s">
        <v>6011</v>
      </c>
      <c r="D1580" s="131" t="s">
        <v>5895</v>
      </c>
      <c r="E1580" s="139" t="s">
        <v>6012</v>
      </c>
      <c r="F1580" s="133">
        <f t="shared" si="78"/>
        <v>1</v>
      </c>
      <c r="G1580" s="131" t="s">
        <v>6013</v>
      </c>
      <c r="H1580" s="134"/>
      <c r="I1580" s="140"/>
      <c r="J1580" s="135" t="s">
        <v>6014</v>
      </c>
      <c r="K1580" s="136"/>
      <c r="L1580" s="136"/>
    </row>
    <row r="1581">
      <c r="A1581" s="129"/>
      <c r="B1581" s="131" t="s">
        <v>5847</v>
      </c>
      <c r="C1581" s="131" t="s">
        <v>6015</v>
      </c>
      <c r="D1581" s="131" t="s">
        <v>5895</v>
      </c>
      <c r="E1581" s="139" t="s">
        <v>6016</v>
      </c>
      <c r="F1581" s="133">
        <f t="shared" si="78"/>
        <v>1</v>
      </c>
      <c r="G1581" s="131" t="s">
        <v>6017</v>
      </c>
      <c r="H1581" s="134"/>
      <c r="I1581" s="140"/>
      <c r="J1581" s="135" t="s">
        <v>6018</v>
      </c>
      <c r="K1581" s="136"/>
      <c r="L1581" s="136"/>
    </row>
    <row r="1582">
      <c r="A1582" s="129"/>
      <c r="B1582" s="131" t="s">
        <v>5847</v>
      </c>
      <c r="C1582" s="131" t="s">
        <v>6019</v>
      </c>
      <c r="D1582" s="131" t="s">
        <v>5895</v>
      </c>
      <c r="E1582" s="139" t="s">
        <v>6020</v>
      </c>
      <c r="F1582" s="133">
        <f t="shared" si="78"/>
        <v>1</v>
      </c>
      <c r="G1582" s="131" t="s">
        <v>6021</v>
      </c>
      <c r="H1582" s="134"/>
      <c r="I1582" s="140"/>
      <c r="J1582" s="135" t="s">
        <v>6022</v>
      </c>
      <c r="K1582" s="136"/>
      <c r="L1582" s="136"/>
    </row>
    <row r="1583">
      <c r="A1583" s="129"/>
      <c r="B1583" s="131" t="s">
        <v>5847</v>
      </c>
      <c r="C1583" s="131" t="s">
        <v>6023</v>
      </c>
      <c r="D1583" s="131" t="s">
        <v>5895</v>
      </c>
      <c r="E1583" s="139" t="s">
        <v>6024</v>
      </c>
      <c r="F1583" s="133">
        <f t="shared" si="78"/>
        <v>1</v>
      </c>
      <c r="G1583" s="131" t="s">
        <v>6025</v>
      </c>
      <c r="H1583" s="134"/>
      <c r="I1583" s="140"/>
      <c r="J1583" s="135" t="s">
        <v>6026</v>
      </c>
      <c r="K1583" s="136"/>
      <c r="L1583" s="136"/>
    </row>
    <row r="1584">
      <c r="A1584" s="129"/>
      <c r="B1584" s="131" t="s">
        <v>5847</v>
      </c>
      <c r="C1584" s="131" t="s">
        <v>6027</v>
      </c>
      <c r="D1584" s="131" t="s">
        <v>5895</v>
      </c>
      <c r="E1584" s="139" t="s">
        <v>6028</v>
      </c>
      <c r="F1584" s="133">
        <f t="shared" si="78"/>
        <v>1</v>
      </c>
      <c r="G1584" s="131" t="s">
        <v>6029</v>
      </c>
      <c r="H1584" s="134"/>
      <c r="I1584" s="140"/>
      <c r="J1584" s="135" t="s">
        <v>6030</v>
      </c>
      <c r="K1584" s="136"/>
      <c r="L1584" s="136"/>
    </row>
    <row r="1585">
      <c r="A1585" s="129"/>
      <c r="B1585" s="131" t="s">
        <v>5847</v>
      </c>
      <c r="C1585" s="131" t="s">
        <v>6031</v>
      </c>
      <c r="D1585" s="131" t="s">
        <v>40</v>
      </c>
      <c r="E1585" s="139" t="s">
        <v>6032</v>
      </c>
      <c r="F1585" s="133">
        <f t="shared" si="78"/>
        <v>1</v>
      </c>
      <c r="G1585" s="131" t="s">
        <v>6033</v>
      </c>
      <c r="H1585" s="134"/>
      <c r="I1585" s="140"/>
      <c r="J1585" s="135" t="s">
        <v>6034</v>
      </c>
      <c r="K1585" s="136"/>
      <c r="L1585" s="136"/>
    </row>
    <row r="1586">
      <c r="A1586" s="129"/>
      <c r="B1586" s="131" t="s">
        <v>5847</v>
      </c>
      <c r="C1586" s="131" t="s">
        <v>6035</v>
      </c>
      <c r="D1586" s="131" t="s">
        <v>6035</v>
      </c>
      <c r="E1586" s="139" t="s">
        <v>6036</v>
      </c>
      <c r="F1586" s="133">
        <f t="shared" si="78"/>
        <v>1</v>
      </c>
      <c r="G1586" s="131" t="s">
        <v>6037</v>
      </c>
      <c r="H1586" s="134"/>
      <c r="I1586" s="140"/>
      <c r="J1586" s="135" t="s">
        <v>6038</v>
      </c>
      <c r="K1586" s="136"/>
      <c r="L1586" s="136"/>
    </row>
    <row r="1587">
      <c r="A1587" s="129"/>
      <c r="B1587" s="131" t="s">
        <v>5847</v>
      </c>
      <c r="C1587" s="131" t="s">
        <v>6039</v>
      </c>
      <c r="D1587" s="131" t="s">
        <v>6039</v>
      </c>
      <c r="E1587" s="139" t="s">
        <v>6040</v>
      </c>
      <c r="F1587" s="133">
        <f t="shared" si="78"/>
        <v>1</v>
      </c>
      <c r="G1587" s="131" t="s">
        <v>6041</v>
      </c>
      <c r="H1587" s="134"/>
      <c r="I1587" s="140"/>
      <c r="J1587" s="135" t="s">
        <v>6042</v>
      </c>
      <c r="K1587" s="136"/>
      <c r="L1587" s="136"/>
    </row>
    <row r="1588">
      <c r="A1588" s="129"/>
      <c r="B1588" s="131" t="s">
        <v>5847</v>
      </c>
      <c r="C1588" s="131" t="s">
        <v>6043</v>
      </c>
      <c r="D1588" s="131" t="s">
        <v>40</v>
      </c>
      <c r="E1588" s="139" t="s">
        <v>6044</v>
      </c>
      <c r="F1588" s="133">
        <f t="shared" si="78"/>
        <v>1</v>
      </c>
      <c r="G1588" s="131" t="s">
        <v>6045</v>
      </c>
      <c r="H1588" s="134"/>
      <c r="I1588" s="136"/>
      <c r="J1588" s="135" t="s">
        <v>6046</v>
      </c>
      <c r="K1588" s="136"/>
      <c r="L1588" s="136"/>
    </row>
    <row r="1589">
      <c r="A1589" s="129"/>
      <c r="B1589" s="131" t="s">
        <v>5847</v>
      </c>
      <c r="C1589" s="131" t="s">
        <v>6047</v>
      </c>
      <c r="D1589" s="131" t="s">
        <v>40</v>
      </c>
      <c r="E1589" s="139"/>
      <c r="F1589" s="133">
        <f t="shared" si="78"/>
        <v>1</v>
      </c>
      <c r="G1589" s="131" t="s">
        <v>6048</v>
      </c>
      <c r="H1589" s="134"/>
      <c r="I1589" s="135" t="s">
        <v>6049</v>
      </c>
      <c r="J1589" s="140"/>
      <c r="K1589" s="136"/>
      <c r="L1589" s="136"/>
    </row>
    <row r="1590">
      <c r="A1590" s="129"/>
      <c r="B1590" s="131" t="s">
        <v>5847</v>
      </c>
      <c r="C1590" s="131" t="s">
        <v>6050</v>
      </c>
      <c r="D1590" s="131" t="s">
        <v>40</v>
      </c>
      <c r="E1590" s="139"/>
      <c r="F1590" s="133">
        <f t="shared" si="78"/>
        <v>1</v>
      </c>
      <c r="G1590" s="131" t="s">
        <v>6051</v>
      </c>
      <c r="H1590" s="134"/>
      <c r="I1590" s="135" t="s">
        <v>6052</v>
      </c>
      <c r="J1590" s="140"/>
      <c r="K1590" s="136"/>
      <c r="L1590" s="136"/>
    </row>
    <row r="1591">
      <c r="A1591" s="129"/>
      <c r="B1591" s="131" t="s">
        <v>5847</v>
      </c>
      <c r="C1591" s="131" t="s">
        <v>6053</v>
      </c>
      <c r="D1591" s="131" t="s">
        <v>40</v>
      </c>
      <c r="E1591" s="139" t="s">
        <v>6054</v>
      </c>
      <c r="F1591" s="133">
        <f t="shared" si="78"/>
        <v>1</v>
      </c>
      <c r="G1591" s="131" t="s">
        <v>6055</v>
      </c>
      <c r="H1591" s="134"/>
      <c r="I1591" s="140"/>
      <c r="J1591" s="135" t="s">
        <v>6056</v>
      </c>
      <c r="K1591" s="136"/>
      <c r="L1591" s="136"/>
    </row>
    <row r="1592">
      <c r="A1592" s="129"/>
      <c r="B1592" s="131" t="s">
        <v>5847</v>
      </c>
      <c r="C1592" s="131" t="s">
        <v>6057</v>
      </c>
      <c r="D1592" s="131" t="s">
        <v>6057</v>
      </c>
      <c r="E1592" s="139" t="s">
        <v>6058</v>
      </c>
      <c r="F1592" s="133">
        <f t="shared" si="78"/>
        <v>1</v>
      </c>
      <c r="G1592" s="131" t="s">
        <v>6059</v>
      </c>
      <c r="H1592" s="134"/>
      <c r="I1592" s="140"/>
      <c r="J1592" s="135" t="s">
        <v>6060</v>
      </c>
      <c r="K1592" s="136"/>
      <c r="L1592" s="136"/>
    </row>
    <row r="1593">
      <c r="A1593" s="129"/>
      <c r="B1593" s="131" t="s">
        <v>5847</v>
      </c>
      <c r="C1593" s="131" t="s">
        <v>6061</v>
      </c>
      <c r="D1593" s="131" t="s">
        <v>5895</v>
      </c>
      <c r="E1593" s="139" t="s">
        <v>6062</v>
      </c>
      <c r="F1593" s="133">
        <f t="shared" si="78"/>
        <v>1</v>
      </c>
      <c r="G1593" s="131" t="s">
        <v>6063</v>
      </c>
      <c r="H1593" s="134"/>
      <c r="I1593" s="140"/>
      <c r="J1593" s="135" t="s">
        <v>6064</v>
      </c>
      <c r="K1593" s="136"/>
      <c r="L1593" s="136"/>
    </row>
    <row r="1594">
      <c r="A1594" s="129"/>
      <c r="B1594" s="131" t="s">
        <v>5847</v>
      </c>
      <c r="C1594" s="131" t="s">
        <v>6065</v>
      </c>
      <c r="D1594" s="131" t="s">
        <v>5895</v>
      </c>
      <c r="E1594" s="139" t="s">
        <v>6066</v>
      </c>
      <c r="F1594" s="133">
        <f t="shared" si="78"/>
        <v>1</v>
      </c>
      <c r="G1594" s="131" t="s">
        <v>6067</v>
      </c>
      <c r="H1594" s="134"/>
      <c r="I1594" s="140"/>
      <c r="J1594" s="135" t="s">
        <v>6068</v>
      </c>
      <c r="K1594" s="136"/>
      <c r="L1594" s="136"/>
    </row>
    <row r="1595">
      <c r="A1595" s="33"/>
      <c r="B1595" s="33"/>
      <c r="C1595" s="12"/>
      <c r="D1595" s="12"/>
      <c r="E1595" s="142"/>
      <c r="F1595" s="12"/>
      <c r="G1595" s="138"/>
      <c r="H1595" s="12"/>
      <c r="I1595" s="143"/>
      <c r="J1595" s="14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6132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6133</v>
      </c>
      <c r="B4" s="158" t="s">
        <v>6114</v>
      </c>
      <c r="C4" s="158" t="s">
        <v>6107</v>
      </c>
      <c r="D4" s="158" t="s">
        <v>6114</v>
      </c>
      <c r="E4" s="158" t="s">
        <v>6114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7076</v>
      </c>
      <c r="B2" s="169" t="s">
        <v>6108</v>
      </c>
      <c r="C2" s="169" t="s">
        <v>6107</v>
      </c>
      <c r="D2" s="169" t="s">
        <v>6107</v>
      </c>
    </row>
    <row r="3">
      <c r="A3" s="173" t="s">
        <v>7077</v>
      </c>
      <c r="B3" s="173" t="s">
        <v>6107</v>
      </c>
      <c r="C3" s="170" t="s">
        <v>6111</v>
      </c>
      <c r="D3" s="170" t="s">
        <v>6111</v>
      </c>
    </row>
    <row r="4">
      <c r="A4" s="158" t="s">
        <v>7078</v>
      </c>
      <c r="B4" s="158" t="s">
        <v>6111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7079</v>
      </c>
      <c r="B2" s="169" t="s">
        <v>6108</v>
      </c>
      <c r="C2" s="169" t="s">
        <v>6107</v>
      </c>
      <c r="D2" s="169" t="s">
        <v>6107</v>
      </c>
    </row>
    <row r="3">
      <c r="A3" s="173" t="s">
        <v>7080</v>
      </c>
      <c r="B3" s="173" t="s">
        <v>6107</v>
      </c>
      <c r="C3" s="170" t="s">
        <v>6111</v>
      </c>
      <c r="D3" s="170" t="s">
        <v>6111</v>
      </c>
    </row>
    <row r="4">
      <c r="A4" s="158" t="s">
        <v>7081</v>
      </c>
      <c r="B4" s="158" t="s">
        <v>6107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7082</v>
      </c>
      <c r="B2" s="169" t="s">
        <v>6108</v>
      </c>
      <c r="C2" s="169" t="s">
        <v>6107</v>
      </c>
      <c r="D2" s="169" t="s">
        <v>6107</v>
      </c>
    </row>
    <row r="3">
      <c r="A3" s="173" t="s">
        <v>7083</v>
      </c>
      <c r="B3" s="173" t="s">
        <v>6107</v>
      </c>
      <c r="C3" s="170" t="s">
        <v>6111</v>
      </c>
      <c r="D3" s="170" t="s">
        <v>6111</v>
      </c>
    </row>
    <row r="4">
      <c r="A4" s="158" t="s">
        <v>7084</v>
      </c>
      <c r="B4" s="158" t="s">
        <v>6107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2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7085</v>
      </c>
      <c r="B2" s="169" t="s">
        <v>6108</v>
      </c>
      <c r="C2" s="169" t="s">
        <v>6107</v>
      </c>
      <c r="D2" s="169" t="s">
        <v>6107</v>
      </c>
    </row>
    <row r="3">
      <c r="A3" s="173" t="s">
        <v>7086</v>
      </c>
      <c r="B3" s="173" t="s">
        <v>6107</v>
      </c>
      <c r="C3" s="170" t="s">
        <v>6111</v>
      </c>
      <c r="D3" s="170" t="s">
        <v>6111</v>
      </c>
    </row>
    <row r="4">
      <c r="A4" s="158" t="s">
        <v>7087</v>
      </c>
      <c r="B4" s="158" t="s">
        <v>6111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7088</v>
      </c>
      <c r="B2" s="169" t="s">
        <v>6107</v>
      </c>
      <c r="C2" s="169" t="s">
        <v>6107</v>
      </c>
    </row>
    <row r="3">
      <c r="A3" s="173" t="s">
        <v>7089</v>
      </c>
      <c r="B3" s="170" t="s">
        <v>6111</v>
      </c>
      <c r="C3" s="170" t="s">
        <v>6111</v>
      </c>
    </row>
    <row r="4">
      <c r="A4" s="158" t="s">
        <v>7090</v>
      </c>
      <c r="B4" s="158" t="s">
        <v>6114</v>
      </c>
      <c r="C4" s="158" t="s">
        <v>6114</v>
      </c>
    </row>
    <row r="5">
      <c r="A5" s="158" t="s">
        <v>7091</v>
      </c>
      <c r="B5" s="158" t="s">
        <v>6129</v>
      </c>
      <c r="C5" s="158" t="s">
        <v>6129</v>
      </c>
    </row>
    <row r="6">
      <c r="A6" s="158"/>
      <c r="B6" s="158"/>
      <c r="C6" s="158"/>
    </row>
  </sheetData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7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7092</v>
      </c>
      <c r="B2" s="169" t="s">
        <v>6108</v>
      </c>
      <c r="C2" s="169" t="s">
        <v>6107</v>
      </c>
      <c r="D2" s="169" t="s">
        <v>6107</v>
      </c>
    </row>
    <row r="3">
      <c r="A3" s="173" t="s">
        <v>7093</v>
      </c>
      <c r="B3" s="173" t="s">
        <v>6107</v>
      </c>
      <c r="C3" s="170" t="s">
        <v>6111</v>
      </c>
      <c r="D3" s="170" t="s">
        <v>6111</v>
      </c>
    </row>
    <row r="4">
      <c r="A4" s="158" t="s">
        <v>7094</v>
      </c>
      <c r="B4" s="158" t="s">
        <v>6111</v>
      </c>
      <c r="C4" s="158" t="s">
        <v>6114</v>
      </c>
      <c r="D4" s="158" t="s">
        <v>6114</v>
      </c>
    </row>
    <row r="5">
      <c r="A5" s="158" t="s">
        <v>7095</v>
      </c>
      <c r="B5" s="158" t="s">
        <v>6114</v>
      </c>
      <c r="C5" s="158" t="s">
        <v>6129</v>
      </c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8.2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7096</v>
      </c>
      <c r="B2" s="169" t="s">
        <v>6108</v>
      </c>
      <c r="C2" s="169" t="s">
        <v>6107</v>
      </c>
      <c r="D2" s="169" t="s">
        <v>6107</v>
      </c>
    </row>
    <row r="3">
      <c r="A3" s="173" t="s">
        <v>7097</v>
      </c>
      <c r="B3" s="173" t="s">
        <v>6107</v>
      </c>
      <c r="C3" s="170" t="s">
        <v>6111</v>
      </c>
      <c r="D3" s="170" t="s">
        <v>6111</v>
      </c>
    </row>
    <row r="4">
      <c r="A4" s="158" t="s">
        <v>7098</v>
      </c>
      <c r="B4" s="158" t="s">
        <v>6111</v>
      </c>
      <c r="C4" s="158" t="s">
        <v>6114</v>
      </c>
      <c r="D4" s="158" t="s">
        <v>6114</v>
      </c>
    </row>
    <row r="5">
      <c r="A5" s="158" t="s">
        <v>7099</v>
      </c>
      <c r="B5" s="158" t="s">
        <v>6114</v>
      </c>
      <c r="C5" s="158" t="s">
        <v>6129</v>
      </c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2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7100</v>
      </c>
      <c r="B2" s="169" t="s">
        <v>6108</v>
      </c>
      <c r="C2" s="169" t="s">
        <v>6107</v>
      </c>
      <c r="D2" s="169" t="s">
        <v>6107</v>
      </c>
    </row>
    <row r="3">
      <c r="A3" s="173" t="s">
        <v>7101</v>
      </c>
      <c r="B3" s="173" t="s">
        <v>6107</v>
      </c>
      <c r="C3" s="170" t="s">
        <v>6111</v>
      </c>
      <c r="D3" s="170" t="s">
        <v>6111</v>
      </c>
    </row>
    <row r="4">
      <c r="A4" s="158" t="s">
        <v>7102</v>
      </c>
      <c r="B4" s="158" t="s">
        <v>6111</v>
      </c>
      <c r="C4" s="158" t="s">
        <v>6114</v>
      </c>
      <c r="D4" s="158" t="s">
        <v>6114</v>
      </c>
    </row>
    <row r="5">
      <c r="A5" s="158" t="s">
        <v>7103</v>
      </c>
      <c r="B5" s="158" t="s">
        <v>6114</v>
      </c>
      <c r="C5" s="158" t="s">
        <v>6129</v>
      </c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0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7104</v>
      </c>
      <c r="B2" s="169" t="s">
        <v>6108</v>
      </c>
      <c r="C2" s="169" t="s">
        <v>6107</v>
      </c>
      <c r="D2" s="169" t="s">
        <v>6107</v>
      </c>
    </row>
    <row r="3">
      <c r="A3" s="173" t="s">
        <v>7105</v>
      </c>
      <c r="B3" s="173" t="s">
        <v>6107</v>
      </c>
      <c r="C3" s="170" t="s">
        <v>6111</v>
      </c>
      <c r="D3" s="170" t="s">
        <v>6111</v>
      </c>
    </row>
    <row r="4">
      <c r="A4" s="158" t="s">
        <v>7106</v>
      </c>
      <c r="B4" s="158" t="s">
        <v>6111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</sheetData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2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7107</v>
      </c>
      <c r="B2" s="169" t="s">
        <v>6108</v>
      </c>
      <c r="C2" s="169" t="s">
        <v>6107</v>
      </c>
      <c r="D2" s="169" t="s">
        <v>6107</v>
      </c>
    </row>
    <row r="3">
      <c r="A3" s="173" t="s">
        <v>7108</v>
      </c>
      <c r="B3" s="173" t="s">
        <v>6107</v>
      </c>
      <c r="C3" s="170" t="s">
        <v>6111</v>
      </c>
      <c r="D3" s="170" t="s">
        <v>6111</v>
      </c>
    </row>
    <row r="4">
      <c r="A4" s="158" t="s">
        <v>7109</v>
      </c>
      <c r="B4" s="158" t="s">
        <v>6111</v>
      </c>
      <c r="C4" s="158" t="s">
        <v>6114</v>
      </c>
      <c r="D4" s="158" t="s">
        <v>6114</v>
      </c>
    </row>
    <row r="5">
      <c r="A5" s="158" t="s">
        <v>7110</v>
      </c>
      <c r="B5" s="158" t="s">
        <v>6114</v>
      </c>
      <c r="C5" s="158" t="s">
        <v>6129</v>
      </c>
      <c r="D5" s="158" t="s">
        <v>6129</v>
      </c>
    </row>
    <row r="6">
      <c r="A6" s="158" t="s">
        <v>7111</v>
      </c>
      <c r="B6" s="158" t="s">
        <v>6129</v>
      </c>
      <c r="C6" s="158" t="s">
        <v>6171</v>
      </c>
      <c r="D6" s="158" t="s">
        <v>6171</v>
      </c>
    </row>
    <row r="7">
      <c r="A7" s="158" t="s">
        <v>7112</v>
      </c>
      <c r="B7" s="158" t="s">
        <v>6171</v>
      </c>
      <c r="C7" s="158" t="s">
        <v>6173</v>
      </c>
      <c r="D7" s="158" t="s">
        <v>6173</v>
      </c>
    </row>
    <row r="8">
      <c r="A8" s="158" t="s">
        <v>7113</v>
      </c>
      <c r="B8" s="158"/>
      <c r="C8" s="158" t="s">
        <v>6175</v>
      </c>
      <c r="D8" s="158" t="s">
        <v>6175</v>
      </c>
    </row>
    <row r="9">
      <c r="A9" s="158"/>
      <c r="B9" s="158"/>
      <c r="C9" s="158"/>
      <c r="D9" s="158"/>
    </row>
    <row r="10">
      <c r="A10" s="158"/>
      <c r="B10" s="158"/>
      <c r="C10" s="158"/>
      <c r="D10" s="158"/>
    </row>
    <row r="11">
      <c r="A11" s="158"/>
      <c r="B11" s="158"/>
      <c r="C11" s="158"/>
      <c r="D11" s="15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6134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6135</v>
      </c>
      <c r="B4" s="158" t="s">
        <v>6114</v>
      </c>
      <c r="C4" s="158" t="s">
        <v>6111</v>
      </c>
      <c r="D4" s="158" t="s">
        <v>6114</v>
      </c>
      <c r="E4" s="158" t="s">
        <v>6114</v>
      </c>
    </row>
    <row r="5">
      <c r="B5" s="158"/>
      <c r="C5" s="158"/>
      <c r="D5" s="158"/>
      <c r="E5" s="158"/>
    </row>
    <row r="6">
      <c r="B6" s="158"/>
      <c r="C6" s="158"/>
      <c r="D6" s="158"/>
      <c r="E6" s="158"/>
    </row>
  </sheetData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13"/>
    <col customWidth="1" min="2" max="3" width="3.75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6651</v>
      </c>
      <c r="B2" s="169" t="s">
        <v>6107</v>
      </c>
      <c r="C2" s="169" t="s">
        <v>6107</v>
      </c>
      <c r="D2" s="169" t="s">
        <v>6107</v>
      </c>
    </row>
    <row r="3">
      <c r="A3" s="173" t="s">
        <v>6156</v>
      </c>
      <c r="B3" s="173" t="s">
        <v>6111</v>
      </c>
      <c r="C3" s="170" t="s">
        <v>6111</v>
      </c>
      <c r="D3" s="170" t="s">
        <v>6111</v>
      </c>
    </row>
    <row r="4">
      <c r="A4" s="158" t="s">
        <v>6157</v>
      </c>
      <c r="B4" s="158" t="s">
        <v>6114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13"/>
    <col customWidth="1" min="2" max="3" width="3.75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7114</v>
      </c>
      <c r="B2" s="169" t="s">
        <v>6108</v>
      </c>
      <c r="C2" s="169" t="s">
        <v>6107</v>
      </c>
      <c r="D2" s="169" t="s">
        <v>6107</v>
      </c>
    </row>
    <row r="3">
      <c r="A3" s="173" t="s">
        <v>7115</v>
      </c>
      <c r="B3" s="173" t="s">
        <v>6107</v>
      </c>
      <c r="C3" s="170" t="s">
        <v>6111</v>
      </c>
      <c r="D3" s="170" t="s">
        <v>6111</v>
      </c>
    </row>
    <row r="4">
      <c r="A4" s="158" t="s">
        <v>7116</v>
      </c>
      <c r="B4" s="158" t="s">
        <v>6111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7117</v>
      </c>
      <c r="B2" s="169" t="s">
        <v>6107</v>
      </c>
      <c r="C2" s="169" t="s">
        <v>6107</v>
      </c>
    </row>
    <row r="3">
      <c r="A3" s="173" t="s">
        <v>7118</v>
      </c>
      <c r="B3" s="170" t="s">
        <v>6111</v>
      </c>
      <c r="C3" s="170" t="s">
        <v>6111</v>
      </c>
    </row>
    <row r="4">
      <c r="A4" s="158" t="s">
        <v>7119</v>
      </c>
      <c r="B4" s="158" t="s">
        <v>6114</v>
      </c>
      <c r="C4" s="158" t="s">
        <v>6114</v>
      </c>
    </row>
    <row r="5">
      <c r="A5" s="158" t="s">
        <v>7120</v>
      </c>
      <c r="B5" s="158" t="s">
        <v>6129</v>
      </c>
      <c r="C5" s="158" t="s">
        <v>6129</v>
      </c>
    </row>
    <row r="6">
      <c r="A6" s="158" t="s">
        <v>7121</v>
      </c>
      <c r="B6" s="158" t="s">
        <v>6171</v>
      </c>
      <c r="C6" s="158" t="s">
        <v>6171</v>
      </c>
    </row>
    <row r="7">
      <c r="A7" s="158" t="s">
        <v>7122</v>
      </c>
      <c r="B7" s="158" t="s">
        <v>6173</v>
      </c>
      <c r="C7" s="158" t="s">
        <v>6173</v>
      </c>
    </row>
    <row r="8">
      <c r="A8" s="158" t="s">
        <v>2567</v>
      </c>
      <c r="B8" s="158" t="s">
        <v>6181</v>
      </c>
      <c r="C8" s="158" t="s">
        <v>6181</v>
      </c>
    </row>
    <row r="9">
      <c r="A9" s="158"/>
      <c r="B9" s="158"/>
      <c r="C9" s="158"/>
    </row>
    <row r="10">
      <c r="A10" s="158"/>
      <c r="B10" s="158"/>
      <c r="C10" s="158"/>
    </row>
  </sheetData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2.25"/>
    <col customWidth="1" min="2" max="2" width="3.75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7117</v>
      </c>
      <c r="B2" s="169" t="s">
        <v>6107</v>
      </c>
      <c r="C2" s="169" t="s">
        <v>6107</v>
      </c>
    </row>
    <row r="3">
      <c r="A3" s="173" t="s">
        <v>7118</v>
      </c>
      <c r="B3" s="170" t="s">
        <v>6111</v>
      </c>
      <c r="C3" s="170" t="s">
        <v>6111</v>
      </c>
    </row>
    <row r="4">
      <c r="A4" s="158" t="s">
        <v>7119</v>
      </c>
      <c r="B4" s="158" t="s">
        <v>6114</v>
      </c>
      <c r="C4" s="158" t="s">
        <v>6114</v>
      </c>
    </row>
    <row r="5">
      <c r="A5" s="158" t="s">
        <v>7123</v>
      </c>
      <c r="B5" s="158" t="s">
        <v>6129</v>
      </c>
      <c r="C5" s="158" t="s">
        <v>6129</v>
      </c>
    </row>
    <row r="6">
      <c r="A6" s="158" t="s">
        <v>7124</v>
      </c>
      <c r="B6" s="158" t="s">
        <v>6171</v>
      </c>
      <c r="C6" s="158" t="s">
        <v>6171</v>
      </c>
    </row>
    <row r="7">
      <c r="A7" s="158" t="s">
        <v>7125</v>
      </c>
      <c r="B7" s="158" t="s">
        <v>6173</v>
      </c>
      <c r="C7" s="158" t="s">
        <v>6173</v>
      </c>
    </row>
    <row r="8">
      <c r="A8" s="158" t="s">
        <v>2567</v>
      </c>
      <c r="B8" s="158" t="s">
        <v>6181</v>
      </c>
      <c r="C8" s="158" t="s">
        <v>6181</v>
      </c>
    </row>
    <row r="9">
      <c r="A9" s="158"/>
      <c r="B9" s="158"/>
      <c r="C9" s="158"/>
    </row>
    <row r="10">
      <c r="A10" s="158"/>
      <c r="B10" s="158"/>
      <c r="C10" s="158"/>
    </row>
  </sheetData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7126</v>
      </c>
      <c r="B2" s="169" t="s">
        <v>6107</v>
      </c>
      <c r="C2" s="169" t="s">
        <v>6107</v>
      </c>
    </row>
    <row r="3">
      <c r="A3" s="158" t="s">
        <v>7127</v>
      </c>
      <c r="B3" s="158" t="s">
        <v>6114</v>
      </c>
      <c r="C3" s="158" t="s">
        <v>6114</v>
      </c>
    </row>
    <row r="4">
      <c r="A4" s="158" t="s">
        <v>7128</v>
      </c>
      <c r="B4" s="158" t="s">
        <v>6129</v>
      </c>
      <c r="C4" s="158" t="s">
        <v>6129</v>
      </c>
    </row>
    <row r="5">
      <c r="A5" s="158" t="s">
        <v>7129</v>
      </c>
      <c r="B5" s="158" t="s">
        <v>6171</v>
      </c>
      <c r="C5" s="158" t="s">
        <v>6171</v>
      </c>
    </row>
    <row r="6">
      <c r="A6" s="158" t="s">
        <v>7130</v>
      </c>
      <c r="B6" s="158" t="s">
        <v>6173</v>
      </c>
      <c r="C6" s="158" t="s">
        <v>6173</v>
      </c>
    </row>
    <row r="7">
      <c r="A7" s="158"/>
      <c r="B7" s="158"/>
      <c r="C7" s="158"/>
    </row>
    <row r="8">
      <c r="A8" s="158"/>
      <c r="B8" s="158"/>
      <c r="C8" s="158"/>
    </row>
  </sheetData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38"/>
    <col customWidth="1" min="2" max="2" width="3.75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7131</v>
      </c>
      <c r="B2" s="169" t="s">
        <v>6107</v>
      </c>
      <c r="C2" s="169" t="s">
        <v>6107</v>
      </c>
    </row>
    <row r="3">
      <c r="A3" s="158" t="s">
        <v>7132</v>
      </c>
      <c r="B3" s="158" t="s">
        <v>6111</v>
      </c>
      <c r="C3" s="158" t="s">
        <v>6111</v>
      </c>
    </row>
    <row r="4">
      <c r="A4" s="158" t="s">
        <v>7133</v>
      </c>
      <c r="B4" s="158" t="s">
        <v>6114</v>
      </c>
      <c r="C4" s="158" t="s">
        <v>6114</v>
      </c>
    </row>
    <row r="5">
      <c r="A5" s="158" t="s">
        <v>7134</v>
      </c>
      <c r="B5" s="158" t="s">
        <v>6129</v>
      </c>
      <c r="C5" s="158" t="s">
        <v>6129</v>
      </c>
    </row>
    <row r="6">
      <c r="A6" s="158" t="s">
        <v>7135</v>
      </c>
      <c r="B6" s="158" t="s">
        <v>6171</v>
      </c>
      <c r="C6" s="158" t="s">
        <v>6171</v>
      </c>
    </row>
    <row r="7">
      <c r="A7" s="158" t="s">
        <v>7136</v>
      </c>
      <c r="B7" s="158" t="s">
        <v>6173</v>
      </c>
      <c r="C7" s="158" t="s">
        <v>6173</v>
      </c>
    </row>
    <row r="8">
      <c r="A8" s="158"/>
      <c r="B8" s="158"/>
      <c r="C8" s="158"/>
    </row>
    <row r="9">
      <c r="A9" s="158"/>
      <c r="B9" s="158"/>
      <c r="C9" s="158"/>
    </row>
  </sheetData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3" width="3.75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7116</v>
      </c>
      <c r="B2" s="169" t="s">
        <v>6129</v>
      </c>
      <c r="C2" s="169" t="s">
        <v>6107</v>
      </c>
      <c r="D2" s="169" t="s">
        <v>6107</v>
      </c>
    </row>
    <row r="3">
      <c r="A3" s="158" t="s">
        <v>7115</v>
      </c>
      <c r="B3" s="158" t="s">
        <v>6114</v>
      </c>
      <c r="C3" s="158" t="s">
        <v>6111</v>
      </c>
      <c r="D3" s="158" t="s">
        <v>6111</v>
      </c>
    </row>
    <row r="4">
      <c r="A4" s="158" t="s">
        <v>7114</v>
      </c>
      <c r="B4" s="158" t="s">
        <v>6111</v>
      </c>
      <c r="C4" s="158" t="s">
        <v>6114</v>
      </c>
      <c r="D4" s="158" t="s">
        <v>6114</v>
      </c>
    </row>
    <row r="5">
      <c r="A5" s="158" t="s">
        <v>7137</v>
      </c>
      <c r="B5" s="158" t="s">
        <v>6107</v>
      </c>
      <c r="C5" s="158" t="s">
        <v>6129</v>
      </c>
      <c r="D5" s="158" t="s">
        <v>6129</v>
      </c>
    </row>
    <row r="6">
      <c r="A6" s="158" t="s">
        <v>7138</v>
      </c>
      <c r="B6" s="158" t="s">
        <v>6108</v>
      </c>
      <c r="C6" s="158" t="s">
        <v>6171</v>
      </c>
      <c r="D6" s="158" t="s">
        <v>6171</v>
      </c>
    </row>
    <row r="7">
      <c r="A7" s="158"/>
      <c r="B7" s="158"/>
      <c r="C7" s="158"/>
      <c r="D7" s="158"/>
    </row>
    <row r="8">
      <c r="A8" s="158"/>
      <c r="B8" s="158"/>
      <c r="C8" s="158"/>
      <c r="D8" s="158"/>
    </row>
  </sheetData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63"/>
    <col customWidth="1" min="2" max="3" width="3.75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3" t="s">
        <v>6860</v>
      </c>
      <c r="B2" s="169" t="s">
        <v>6107</v>
      </c>
      <c r="C2" s="169" t="s">
        <v>6107</v>
      </c>
      <c r="D2" s="169" t="s">
        <v>6107</v>
      </c>
    </row>
    <row r="3">
      <c r="A3" s="158" t="s">
        <v>6854</v>
      </c>
      <c r="B3" s="158" t="s">
        <v>6108</v>
      </c>
      <c r="C3" s="158" t="s">
        <v>6111</v>
      </c>
      <c r="D3" s="158" t="s">
        <v>6111</v>
      </c>
    </row>
    <row r="4">
      <c r="A4" s="158" t="s">
        <v>6165</v>
      </c>
      <c r="B4" s="158"/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9.38"/>
    <col customWidth="1" min="2" max="3" width="3.75"/>
    <col customWidth="1" min="4" max="4" width="15.2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7139</v>
      </c>
      <c r="B2" s="169" t="s">
        <v>6111</v>
      </c>
      <c r="C2" s="169"/>
      <c r="D2" s="181" t="s">
        <v>7139</v>
      </c>
    </row>
    <row r="3">
      <c r="A3" s="158" t="s">
        <v>7140</v>
      </c>
      <c r="B3" s="158" t="s">
        <v>6107</v>
      </c>
      <c r="C3" s="158"/>
      <c r="D3" s="158" t="s">
        <v>7140</v>
      </c>
    </row>
    <row r="4">
      <c r="A4" s="175" t="s">
        <v>7141</v>
      </c>
      <c r="B4" s="158" t="s">
        <v>6108</v>
      </c>
      <c r="C4" s="158"/>
      <c r="D4" s="175" t="s">
        <v>7141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3" width="3.75"/>
    <col customWidth="1" min="4" max="4" width="14.2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6183</v>
      </c>
      <c r="B2" s="169" t="s">
        <v>6107</v>
      </c>
      <c r="C2" s="169" t="s">
        <v>6107</v>
      </c>
      <c r="D2" s="169" t="s">
        <v>7142</v>
      </c>
    </row>
    <row r="3">
      <c r="A3" s="158" t="s">
        <v>6184</v>
      </c>
      <c r="B3" s="158" t="s">
        <v>6111</v>
      </c>
      <c r="C3" s="158" t="s">
        <v>6111</v>
      </c>
      <c r="D3" s="158" t="s">
        <v>7143</v>
      </c>
    </row>
    <row r="4">
      <c r="A4" s="158" t="s">
        <v>2567</v>
      </c>
      <c r="B4" s="158" t="s">
        <v>6175</v>
      </c>
      <c r="C4" s="158" t="s">
        <v>6114</v>
      </c>
      <c r="D4" s="158" t="s">
        <v>6294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6136</v>
      </c>
      <c r="B2" s="158" t="s">
        <v>6107</v>
      </c>
      <c r="C2" s="158" t="s">
        <v>6107</v>
      </c>
    </row>
    <row r="3">
      <c r="A3" s="61" t="s">
        <v>6137</v>
      </c>
      <c r="B3" s="158" t="s">
        <v>6111</v>
      </c>
      <c r="C3" s="158" t="s">
        <v>6111</v>
      </c>
    </row>
    <row r="4">
      <c r="A4" s="61" t="s">
        <v>6138</v>
      </c>
      <c r="B4" s="158"/>
      <c r="C4" s="158" t="s">
        <v>6114</v>
      </c>
    </row>
    <row r="5">
      <c r="B5" s="159"/>
    </row>
    <row r="6">
      <c r="B6" s="159"/>
    </row>
  </sheetData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58" t="s">
        <v>6599</v>
      </c>
      <c r="B2" s="158" t="s">
        <v>6108</v>
      </c>
      <c r="C2" s="158" t="s">
        <v>6654</v>
      </c>
      <c r="D2" s="158" t="s">
        <v>6654</v>
      </c>
    </row>
    <row r="3">
      <c r="A3" s="158" t="s">
        <v>6651</v>
      </c>
      <c r="B3" s="158" t="s">
        <v>6107</v>
      </c>
      <c r="C3" s="158" t="s">
        <v>6658</v>
      </c>
      <c r="D3" s="158" t="s">
        <v>6658</v>
      </c>
    </row>
    <row r="4">
      <c r="A4" s="158" t="s">
        <v>6156</v>
      </c>
      <c r="B4" s="158" t="s">
        <v>6111</v>
      </c>
      <c r="C4" s="158" t="s">
        <v>6662</v>
      </c>
      <c r="D4" s="158" t="s">
        <v>6662</v>
      </c>
    </row>
    <row r="5">
      <c r="A5" s="181" t="s">
        <v>6157</v>
      </c>
      <c r="B5" s="169" t="s">
        <v>6114</v>
      </c>
      <c r="C5" s="169" t="s">
        <v>6664</v>
      </c>
      <c r="D5" s="169" t="s">
        <v>6664</v>
      </c>
    </row>
    <row r="6">
      <c r="A6" s="158" t="s">
        <v>6598</v>
      </c>
      <c r="B6" s="158" t="s">
        <v>6129</v>
      </c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58" t="s">
        <v>7144</v>
      </c>
      <c r="B2" s="158" t="s">
        <v>6107</v>
      </c>
      <c r="C2" s="158"/>
      <c r="D2" s="158" t="s">
        <v>6107</v>
      </c>
    </row>
    <row r="3">
      <c r="A3" s="158" t="s">
        <v>7145</v>
      </c>
      <c r="B3" s="158" t="s">
        <v>6111</v>
      </c>
      <c r="C3" s="158"/>
      <c r="D3" s="158" t="s">
        <v>6111</v>
      </c>
    </row>
    <row r="4">
      <c r="A4" s="158"/>
      <c r="B4" s="158"/>
      <c r="C4" s="158"/>
      <c r="D4" s="158"/>
    </row>
    <row r="5">
      <c r="A5" s="181"/>
      <c r="B5" s="169"/>
      <c r="C5" s="169"/>
      <c r="D5" s="169"/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4" t="s">
        <v>7146</v>
      </c>
      <c r="B2" s="169" t="s">
        <v>7147</v>
      </c>
      <c r="C2" s="169" t="s">
        <v>7147</v>
      </c>
      <c r="D2" s="161" t="s">
        <v>7147</v>
      </c>
    </row>
    <row r="3">
      <c r="A3" s="158" t="s">
        <v>7148</v>
      </c>
      <c r="B3" s="158" t="s">
        <v>7149</v>
      </c>
      <c r="C3" s="158" t="s">
        <v>7149</v>
      </c>
      <c r="D3" s="185" t="s">
        <v>7149</v>
      </c>
    </row>
    <row r="4">
      <c r="A4" s="158" t="s">
        <v>7150</v>
      </c>
      <c r="B4" s="158" t="s">
        <v>6108</v>
      </c>
      <c r="C4" s="158" t="s">
        <v>6108</v>
      </c>
      <c r="D4" s="185" t="s">
        <v>6108</v>
      </c>
    </row>
    <row r="5">
      <c r="A5" s="158" t="s">
        <v>7151</v>
      </c>
      <c r="B5" s="158" t="s">
        <v>6107</v>
      </c>
      <c r="C5" s="158" t="s">
        <v>6107</v>
      </c>
      <c r="D5" s="185" t="s">
        <v>6107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38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4" t="s">
        <v>7152</v>
      </c>
      <c r="B2" s="169" t="s">
        <v>6108</v>
      </c>
      <c r="C2" s="169" t="s">
        <v>6108</v>
      </c>
      <c r="D2" s="169" t="s">
        <v>7152</v>
      </c>
    </row>
    <row r="3">
      <c r="A3" s="158" t="s">
        <v>7153</v>
      </c>
      <c r="B3" s="158" t="s">
        <v>6111</v>
      </c>
      <c r="C3" s="158" t="s">
        <v>6107</v>
      </c>
      <c r="D3" s="158" t="s">
        <v>7153</v>
      </c>
    </row>
    <row r="4">
      <c r="A4" s="158"/>
      <c r="B4" s="158"/>
      <c r="C4" s="158"/>
      <c r="D4" s="158"/>
    </row>
    <row r="5">
      <c r="A5" s="158"/>
      <c r="B5" s="158"/>
      <c r="C5" s="158"/>
      <c r="D5" s="158"/>
    </row>
  </sheetData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4" t="s">
        <v>6599</v>
      </c>
      <c r="B2" s="169" t="s">
        <v>6108</v>
      </c>
      <c r="C2" s="169"/>
      <c r="D2" s="169" t="s">
        <v>6107</v>
      </c>
    </row>
    <row r="3">
      <c r="A3" s="158" t="s">
        <v>6599</v>
      </c>
      <c r="B3" s="158"/>
      <c r="C3" s="158"/>
      <c r="D3" s="61" t="s">
        <v>6656</v>
      </c>
    </row>
    <row r="4">
      <c r="A4" s="158" t="s">
        <v>7061</v>
      </c>
      <c r="B4" s="158" t="s">
        <v>6107</v>
      </c>
      <c r="C4" s="158"/>
      <c r="D4" s="158" t="s">
        <v>6111</v>
      </c>
    </row>
    <row r="5">
      <c r="A5" s="158" t="s">
        <v>7061</v>
      </c>
      <c r="B5" s="158"/>
      <c r="C5" s="158"/>
      <c r="D5" s="61" t="s">
        <v>7154</v>
      </c>
    </row>
    <row r="6">
      <c r="A6" s="158" t="s">
        <v>7155</v>
      </c>
      <c r="B6" s="158" t="s">
        <v>6162</v>
      </c>
      <c r="C6" s="158"/>
      <c r="D6" s="158" t="s">
        <v>6114</v>
      </c>
    </row>
    <row r="7">
      <c r="A7" s="158" t="s">
        <v>7155</v>
      </c>
      <c r="B7" s="158"/>
      <c r="C7" s="158"/>
      <c r="D7" s="61" t="s">
        <v>7156</v>
      </c>
    </row>
    <row r="8">
      <c r="A8" s="158"/>
      <c r="B8" s="158"/>
      <c r="C8" s="158"/>
      <c r="D8" s="158"/>
    </row>
    <row r="9">
      <c r="A9" s="158"/>
      <c r="B9" s="158"/>
      <c r="C9" s="158"/>
      <c r="D9" s="158"/>
    </row>
  </sheetData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4" width="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6" t="s">
        <v>6108</v>
      </c>
      <c r="B2" s="169" t="s">
        <v>6108</v>
      </c>
      <c r="C2" s="169"/>
      <c r="D2" s="176" t="s">
        <v>7157</v>
      </c>
    </row>
    <row r="3">
      <c r="A3" s="158" t="s">
        <v>6675</v>
      </c>
      <c r="B3" s="158" t="s">
        <v>6107</v>
      </c>
      <c r="C3" s="158"/>
      <c r="D3" s="158" t="s">
        <v>6675</v>
      </c>
    </row>
    <row r="4">
      <c r="A4" s="158" t="s">
        <v>6679</v>
      </c>
      <c r="B4" s="158" t="s">
        <v>6680</v>
      </c>
      <c r="C4" s="158"/>
      <c r="D4" s="176" t="s">
        <v>6679</v>
      </c>
    </row>
    <row r="5">
      <c r="A5" s="158" t="s">
        <v>7158</v>
      </c>
      <c r="B5" s="158" t="s">
        <v>6111</v>
      </c>
      <c r="C5" s="158"/>
      <c r="D5" s="158" t="s">
        <v>7158</v>
      </c>
    </row>
    <row r="6">
      <c r="A6" s="158" t="s">
        <v>7159</v>
      </c>
      <c r="B6" s="158" t="s">
        <v>6111</v>
      </c>
      <c r="C6" s="158"/>
      <c r="D6" s="158" t="s">
        <v>7159</v>
      </c>
    </row>
    <row r="7">
      <c r="A7" s="158" t="s">
        <v>6114</v>
      </c>
      <c r="B7" s="158" t="s">
        <v>6114</v>
      </c>
      <c r="C7" s="158"/>
      <c r="D7" s="176" t="s">
        <v>7160</v>
      </c>
    </row>
    <row r="8">
      <c r="A8" s="158"/>
      <c r="B8" s="158"/>
      <c r="C8" s="158"/>
      <c r="D8" s="158"/>
    </row>
  </sheetData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7144</v>
      </c>
      <c r="B2" s="169" t="s">
        <v>6108</v>
      </c>
      <c r="C2" s="169"/>
      <c r="D2" s="175" t="s">
        <v>7161</v>
      </c>
    </row>
    <row r="3">
      <c r="A3" s="175" t="s">
        <v>6598</v>
      </c>
      <c r="B3" s="158" t="s">
        <v>6107</v>
      </c>
      <c r="C3" s="158"/>
      <c r="D3" s="175" t="s">
        <v>7162</v>
      </c>
    </row>
    <row r="4">
      <c r="A4" s="158"/>
      <c r="B4" s="158"/>
      <c r="C4" s="158"/>
      <c r="D4" s="158"/>
    </row>
  </sheetData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7163</v>
      </c>
      <c r="B2" s="169" t="s">
        <v>6107</v>
      </c>
      <c r="C2" s="169"/>
      <c r="D2" s="175" t="s">
        <v>6107</v>
      </c>
    </row>
    <row r="3">
      <c r="A3" s="175" t="s">
        <v>7164</v>
      </c>
      <c r="B3" s="158" t="s">
        <v>6111</v>
      </c>
      <c r="C3" s="158"/>
      <c r="D3" s="175" t="s">
        <v>6111</v>
      </c>
    </row>
    <row r="4">
      <c r="A4" s="158"/>
      <c r="B4" s="158"/>
      <c r="C4" s="158"/>
      <c r="D4" s="158"/>
    </row>
  </sheetData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6586</v>
      </c>
      <c r="B2" s="169" t="s">
        <v>6108</v>
      </c>
      <c r="C2" s="169"/>
      <c r="D2" s="175" t="s">
        <v>6107</v>
      </c>
    </row>
    <row r="3">
      <c r="A3" s="175" t="s">
        <v>6651</v>
      </c>
      <c r="B3" s="158" t="s">
        <v>6107</v>
      </c>
      <c r="C3" s="158"/>
      <c r="D3" s="175" t="s">
        <v>6111</v>
      </c>
    </row>
    <row r="4">
      <c r="A4" s="158" t="s">
        <v>7165</v>
      </c>
      <c r="B4" s="158" t="s">
        <v>6111</v>
      </c>
      <c r="C4" s="158"/>
      <c r="D4" s="158" t="s">
        <v>6114</v>
      </c>
    </row>
    <row r="5">
      <c r="A5" s="158" t="s">
        <v>6157</v>
      </c>
      <c r="B5" s="158" t="s">
        <v>6114</v>
      </c>
      <c r="C5" s="158"/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6586</v>
      </c>
      <c r="B2" s="169" t="s">
        <v>6108</v>
      </c>
      <c r="C2" s="169"/>
      <c r="D2" s="175" t="s">
        <v>6107</v>
      </c>
    </row>
    <row r="3">
      <c r="A3" s="175" t="s">
        <v>6651</v>
      </c>
      <c r="B3" s="158" t="s">
        <v>6107</v>
      </c>
      <c r="C3" s="158"/>
      <c r="D3" s="175" t="s">
        <v>6111</v>
      </c>
    </row>
    <row r="4">
      <c r="A4" s="158" t="s">
        <v>7165</v>
      </c>
      <c r="B4" s="158" t="s">
        <v>6111</v>
      </c>
      <c r="C4" s="158"/>
      <c r="D4" s="158" t="s">
        <v>6114</v>
      </c>
    </row>
    <row r="5">
      <c r="A5" s="158" t="s">
        <v>6157</v>
      </c>
      <c r="B5" s="158" t="s">
        <v>6114</v>
      </c>
      <c r="C5" s="158"/>
      <c r="D5" s="158" t="s">
        <v>6129</v>
      </c>
    </row>
    <row r="6">
      <c r="A6" s="158" t="s">
        <v>7166</v>
      </c>
      <c r="B6" s="158"/>
      <c r="C6" s="158"/>
      <c r="D6" s="158" t="s">
        <v>6171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</cols>
  <sheetData>
    <row r="1">
      <c r="A1" s="61" t="s">
        <v>6103</v>
      </c>
      <c r="B1" s="158" t="s">
        <v>8</v>
      </c>
      <c r="C1" s="158" t="s">
        <v>9</v>
      </c>
    </row>
    <row r="2">
      <c r="A2" s="61" t="s">
        <v>6139</v>
      </c>
      <c r="B2" s="158" t="s">
        <v>6108</v>
      </c>
      <c r="C2" s="158"/>
    </row>
    <row r="3">
      <c r="A3" s="61" t="s">
        <v>6140</v>
      </c>
      <c r="B3" s="158" t="s">
        <v>6107</v>
      </c>
      <c r="C3" s="158" t="s">
        <v>6107</v>
      </c>
    </row>
    <row r="4">
      <c r="A4" s="61" t="s">
        <v>6141</v>
      </c>
      <c r="B4" s="158" t="s">
        <v>6111</v>
      </c>
      <c r="C4" s="158" t="s">
        <v>6111</v>
      </c>
    </row>
    <row r="5">
      <c r="A5" s="61" t="s">
        <v>6142</v>
      </c>
      <c r="B5" s="158" t="s">
        <v>6114</v>
      </c>
      <c r="C5" s="158" t="s">
        <v>6114</v>
      </c>
    </row>
    <row r="6">
      <c r="A6" s="61" t="s">
        <v>6143</v>
      </c>
      <c r="B6" s="158" t="s">
        <v>6129</v>
      </c>
      <c r="C6" s="158" t="s">
        <v>6129</v>
      </c>
    </row>
    <row r="7">
      <c r="B7" s="159"/>
      <c r="C7" s="159"/>
    </row>
    <row r="8">
      <c r="B8" s="159"/>
      <c r="C8" s="159"/>
    </row>
  </sheetData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6599</v>
      </c>
      <c r="B2" s="169" t="s">
        <v>6108</v>
      </c>
      <c r="C2" s="169"/>
      <c r="D2" s="175" t="s">
        <v>6107</v>
      </c>
    </row>
    <row r="3">
      <c r="A3" s="175" t="s">
        <v>6651</v>
      </c>
      <c r="B3" s="158" t="s">
        <v>6107</v>
      </c>
      <c r="C3" s="158"/>
      <c r="D3" s="175" t="s">
        <v>6111</v>
      </c>
    </row>
    <row r="4">
      <c r="A4" s="158" t="s">
        <v>6156</v>
      </c>
      <c r="B4" s="158" t="s">
        <v>6111</v>
      </c>
      <c r="C4" s="158"/>
      <c r="D4" s="158" t="s">
        <v>6114</v>
      </c>
    </row>
    <row r="5">
      <c r="A5" s="158" t="s">
        <v>6157</v>
      </c>
      <c r="B5" s="158" t="s">
        <v>6114</v>
      </c>
      <c r="C5" s="158"/>
      <c r="D5" s="158" t="s">
        <v>6129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6599</v>
      </c>
      <c r="B2" s="169" t="s">
        <v>6108</v>
      </c>
      <c r="C2" s="169"/>
      <c r="D2" s="175" t="s">
        <v>6107</v>
      </c>
    </row>
    <row r="3">
      <c r="A3" s="175" t="s">
        <v>7055</v>
      </c>
      <c r="B3" s="158" t="s">
        <v>6107</v>
      </c>
      <c r="C3" s="158"/>
      <c r="D3" s="175" t="s">
        <v>6111</v>
      </c>
    </row>
    <row r="4">
      <c r="A4" s="158" t="s">
        <v>7061</v>
      </c>
      <c r="B4" s="158" t="s">
        <v>6111</v>
      </c>
      <c r="C4" s="158"/>
      <c r="D4" s="158" t="s">
        <v>6114</v>
      </c>
    </row>
  </sheetData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6599</v>
      </c>
      <c r="B2" s="169" t="s">
        <v>6108</v>
      </c>
      <c r="C2" s="169"/>
      <c r="D2" s="175" t="s">
        <v>6107</v>
      </c>
    </row>
    <row r="3">
      <c r="A3" s="175" t="s">
        <v>6651</v>
      </c>
      <c r="B3" s="158" t="s">
        <v>6107</v>
      </c>
      <c r="C3" s="158"/>
      <c r="D3" s="175" t="s">
        <v>6111</v>
      </c>
    </row>
    <row r="4">
      <c r="A4" s="158" t="s">
        <v>6156</v>
      </c>
      <c r="B4" s="158" t="s">
        <v>6111</v>
      </c>
      <c r="C4" s="158"/>
      <c r="D4" s="158" t="s">
        <v>6114</v>
      </c>
    </row>
    <row r="5">
      <c r="A5" s="158" t="s">
        <v>6157</v>
      </c>
      <c r="B5" s="158" t="s">
        <v>6114</v>
      </c>
      <c r="C5" s="158"/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6" t="s">
        <v>6586</v>
      </c>
      <c r="B2" s="169" t="s">
        <v>6108</v>
      </c>
      <c r="C2" s="169"/>
      <c r="D2" s="175" t="s">
        <v>6129</v>
      </c>
    </row>
    <row r="3">
      <c r="A3" s="175" t="s">
        <v>6651</v>
      </c>
      <c r="B3" s="158" t="s">
        <v>6107</v>
      </c>
      <c r="C3" s="158"/>
      <c r="D3" s="175" t="s">
        <v>6107</v>
      </c>
    </row>
    <row r="4">
      <c r="A4" s="158" t="s">
        <v>6156</v>
      </c>
      <c r="B4" s="158" t="s">
        <v>6111</v>
      </c>
      <c r="C4" s="158"/>
      <c r="D4" s="158" t="s">
        <v>6111</v>
      </c>
    </row>
    <row r="5">
      <c r="A5" s="158" t="s">
        <v>6157</v>
      </c>
      <c r="B5" s="158" t="s">
        <v>6114</v>
      </c>
      <c r="C5" s="158"/>
      <c r="D5" s="158" t="s">
        <v>6114</v>
      </c>
    </row>
    <row r="6">
      <c r="A6" s="158"/>
      <c r="B6" s="158"/>
      <c r="C6" s="158"/>
      <c r="D6" s="158"/>
    </row>
  </sheetData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5" t="s">
        <v>6651</v>
      </c>
      <c r="B2" s="158" t="s">
        <v>6107</v>
      </c>
      <c r="C2" s="158"/>
      <c r="D2" s="175" t="s">
        <v>6107</v>
      </c>
    </row>
    <row r="3">
      <c r="A3" s="158" t="s">
        <v>6156</v>
      </c>
      <c r="B3" s="158" t="s">
        <v>6111</v>
      </c>
      <c r="C3" s="158"/>
      <c r="D3" s="158" t="s">
        <v>6111</v>
      </c>
    </row>
    <row r="4">
      <c r="A4" s="158" t="s">
        <v>7167</v>
      </c>
      <c r="B4" s="158" t="s">
        <v>6114</v>
      </c>
      <c r="C4" s="158"/>
      <c r="D4" s="158" t="s">
        <v>6114</v>
      </c>
    </row>
    <row r="5">
      <c r="A5" s="158" t="s">
        <v>7168</v>
      </c>
      <c r="B5" s="158"/>
      <c r="C5" s="158"/>
      <c r="D5" s="158" t="s">
        <v>6129</v>
      </c>
    </row>
  </sheetData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5" t="s">
        <v>6712</v>
      </c>
      <c r="B2" s="158" t="s">
        <v>6107</v>
      </c>
      <c r="C2" s="158"/>
      <c r="D2" s="175" t="s">
        <v>6107</v>
      </c>
    </row>
    <row r="3">
      <c r="A3" s="158" t="s">
        <v>6714</v>
      </c>
      <c r="B3" s="158" t="s">
        <v>6111</v>
      </c>
      <c r="C3" s="158"/>
      <c r="D3" s="158" t="s">
        <v>6111</v>
      </c>
    </row>
    <row r="4">
      <c r="A4" s="158" t="s">
        <v>6796</v>
      </c>
      <c r="B4" s="158" t="s">
        <v>6114</v>
      </c>
      <c r="C4" s="158"/>
      <c r="D4" s="158" t="s">
        <v>6114</v>
      </c>
    </row>
    <row r="5">
      <c r="A5" s="158" t="s">
        <v>6799</v>
      </c>
      <c r="B5" s="158" t="s">
        <v>6129</v>
      </c>
      <c r="C5" s="158"/>
      <c r="D5" s="158" t="s">
        <v>6129</v>
      </c>
    </row>
    <row r="6">
      <c r="A6" s="158" t="s">
        <v>6720</v>
      </c>
      <c r="B6" s="158" t="s">
        <v>6171</v>
      </c>
      <c r="C6" s="158"/>
      <c r="D6" s="158" t="s">
        <v>6171</v>
      </c>
    </row>
    <row r="7">
      <c r="A7" s="158"/>
      <c r="B7" s="158"/>
      <c r="C7" s="158"/>
      <c r="D7" s="158"/>
    </row>
  </sheetData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0"/>
    <col customWidth="1" min="2" max="2" width="3.75"/>
    <col customWidth="1" min="3" max="3" width="8.0"/>
    <col customWidth="1" min="4" max="4" width="1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5" t="s">
        <v>7169</v>
      </c>
      <c r="B2" s="158" t="s">
        <v>6107</v>
      </c>
      <c r="C2" s="158"/>
      <c r="D2" s="175" t="s">
        <v>7170</v>
      </c>
    </row>
    <row r="3">
      <c r="A3" s="158" t="s">
        <v>7171</v>
      </c>
      <c r="B3" s="158" t="s">
        <v>6111</v>
      </c>
      <c r="C3" s="158"/>
      <c r="D3" s="176" t="s">
        <v>7172</v>
      </c>
    </row>
    <row r="4">
      <c r="A4" s="158"/>
      <c r="B4" s="158"/>
      <c r="C4" s="158"/>
      <c r="D4" s="158"/>
    </row>
  </sheetData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6.0"/>
    <col customWidth="1" min="2" max="2" width="20.13"/>
    <col customWidth="1" min="3" max="3" width="38.5"/>
    <col customWidth="1" min="4" max="4" width="14.25"/>
    <col customWidth="1" min="5" max="5" width="51.25"/>
    <col customWidth="1" min="6" max="7" width="23.25"/>
    <col customWidth="1" min="8" max="8" width="28.63"/>
    <col customWidth="1" hidden="1" min="9" max="9" width="29.88"/>
    <col customWidth="1" hidden="1" min="10" max="10" width="17.5"/>
    <col customWidth="1" hidden="1" min="11" max="11" width="35.13"/>
    <col customWidth="1" hidden="1" min="12" max="12" width="60.88"/>
    <col customWidth="1" hidden="1" min="13" max="13" width="20.0"/>
    <col customWidth="1" min="14" max="14" width="24.38"/>
    <col customWidth="1" min="15" max="15" width="19.0"/>
    <col customWidth="1" min="16" max="16" width="11.75"/>
    <col customWidth="1" min="17" max="17" width="16.88"/>
    <col customWidth="1" min="18" max="18" width="12.88"/>
    <col customWidth="1" min="19" max="19" width="15.75"/>
    <col customWidth="1" min="20" max="20" width="10.2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87" t="s">
        <v>7173</v>
      </c>
      <c r="J1" s="187" t="s">
        <v>7174</v>
      </c>
      <c r="K1" s="187" t="s">
        <v>7175</v>
      </c>
      <c r="L1" s="2" t="s">
        <v>7176</v>
      </c>
      <c r="M1" s="2" t="s">
        <v>7177</v>
      </c>
      <c r="N1" s="2" t="s">
        <v>7178</v>
      </c>
      <c r="O1" s="2" t="s">
        <v>6144</v>
      </c>
      <c r="P1" s="2" t="s">
        <v>8</v>
      </c>
      <c r="Q1" s="2" t="s">
        <v>9</v>
      </c>
      <c r="R1" s="2" t="s">
        <v>7179</v>
      </c>
      <c r="S1" s="2" t="s">
        <v>7180</v>
      </c>
      <c r="T1" s="2" t="s">
        <v>7181</v>
      </c>
      <c r="U1" s="2" t="s">
        <v>7182</v>
      </c>
      <c r="V1" s="2" t="s">
        <v>7183</v>
      </c>
      <c r="W1" s="2" t="s">
        <v>7184</v>
      </c>
      <c r="X1" s="188"/>
      <c r="Y1" s="188"/>
      <c r="Z1" s="188"/>
    </row>
    <row r="2">
      <c r="A2" s="189" t="s">
        <v>10</v>
      </c>
      <c r="B2" s="190" t="s">
        <v>11</v>
      </c>
      <c r="C2" s="154" t="s">
        <v>12</v>
      </c>
      <c r="D2" s="154" t="s">
        <v>12</v>
      </c>
      <c r="E2" s="191" t="s">
        <v>13</v>
      </c>
      <c r="F2" s="123">
        <f t="shared" ref="F2:F1518" si="1">counta(O2:U2)</f>
        <v>3</v>
      </c>
      <c r="G2" s="121" t="s">
        <v>12</v>
      </c>
      <c r="H2" s="12"/>
      <c r="I2" s="192" t="str">
        <f>IFERROR(__xludf.DUMMYFUNCTION("regexreplace(lower(C2), ""_"", """")"),"center")</f>
        <v>center</v>
      </c>
      <c r="J2" s="192" t="b">
        <f t="shared" ref="J2:J3" si="2">exact(I2, K2)</f>
        <v>1</v>
      </c>
      <c r="K2" s="192" t="str">
        <f>IFERROR(__xludf.DUMMYFUNCTION("regexreplace(G2, ""_"", """")"),"center")</f>
        <v>center</v>
      </c>
      <c r="L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""$1$2"")"),"center")</f>
        <v>center</v>
      </c>
      <c r="M2" s="193"/>
      <c r="N2" s="61" t="s">
        <v>7185</v>
      </c>
      <c r="O2" s="194" t="s">
        <v>7186</v>
      </c>
      <c r="P2" s="195" t="s">
        <v>14</v>
      </c>
      <c r="Q2" s="195" t="s">
        <v>14</v>
      </c>
      <c r="R2" s="193"/>
      <c r="S2" s="193"/>
      <c r="T2" s="193"/>
      <c r="U2" s="193"/>
      <c r="V2" s="193"/>
      <c r="W2" s="193"/>
      <c r="X2" s="193"/>
      <c r="Y2" s="193"/>
      <c r="Z2" s="193"/>
    </row>
    <row r="3">
      <c r="A3" s="190"/>
      <c r="B3" s="190" t="s">
        <v>11</v>
      </c>
      <c r="C3" s="196" t="s">
        <v>15</v>
      </c>
      <c r="D3" s="154" t="s">
        <v>16</v>
      </c>
      <c r="E3" s="197" t="s">
        <v>17</v>
      </c>
      <c r="F3" s="123">
        <f t="shared" si="1"/>
        <v>4</v>
      </c>
      <c r="G3" s="121" t="s">
        <v>18</v>
      </c>
      <c r="H3" s="39"/>
      <c r="I3" s="192" t="str">
        <f>IFERROR(__xludf.DUMMYFUNCTION("regexreplace(lower(C3), ""_"", """")"),"subjectid")</f>
        <v>subjectid</v>
      </c>
      <c r="J3" s="192" t="b">
        <f t="shared" si="2"/>
        <v>1</v>
      </c>
      <c r="K3" s="192" t="str">
        <f>IFERROR(__xludf.DUMMYFUNCTION("regexreplace(G3, ""_"", """")"),"subjectid")</f>
        <v>subjectid</v>
      </c>
      <c r="L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""$1$2"")"),"subject_id")</f>
        <v>subject_id</v>
      </c>
      <c r="M3" s="193"/>
      <c r="N3" s="61" t="s">
        <v>7187</v>
      </c>
      <c r="O3" s="194" t="s">
        <v>7188</v>
      </c>
      <c r="P3" s="195" t="s">
        <v>19</v>
      </c>
      <c r="Q3" s="195" t="s">
        <v>19</v>
      </c>
      <c r="R3" s="193"/>
      <c r="S3" s="194" t="s">
        <v>18</v>
      </c>
      <c r="T3" s="193"/>
      <c r="U3" s="193"/>
      <c r="V3" s="193"/>
      <c r="W3" s="193"/>
      <c r="X3" s="193"/>
      <c r="Y3" s="193"/>
      <c r="Z3" s="193"/>
    </row>
    <row r="4">
      <c r="A4" s="11"/>
      <c r="B4" s="11"/>
      <c r="C4" s="12"/>
      <c r="D4" s="12"/>
      <c r="E4" s="13"/>
      <c r="F4" s="123">
        <f t="shared" si="1"/>
        <v>0</v>
      </c>
      <c r="G4" s="12"/>
      <c r="H4" s="12"/>
      <c r="I4" s="12"/>
      <c r="J4" s="12"/>
      <c r="K4" s="12"/>
      <c r="L4" s="12"/>
      <c r="N4" s="15"/>
      <c r="P4" s="15"/>
      <c r="Q4" s="15"/>
    </row>
    <row r="5">
      <c r="A5" s="189" t="s">
        <v>10</v>
      </c>
      <c r="B5" s="189" t="s">
        <v>20</v>
      </c>
      <c r="C5" s="154" t="s">
        <v>21</v>
      </c>
      <c r="D5" s="154" t="s">
        <v>16</v>
      </c>
      <c r="E5" s="198" t="s">
        <v>22</v>
      </c>
      <c r="F5" s="123">
        <f t="shared" si="1"/>
        <v>2</v>
      </c>
      <c r="G5" s="121" t="s">
        <v>23</v>
      </c>
      <c r="H5" s="12"/>
      <c r="I5" s="192" t="str">
        <f>IFERROR(__xludf.DUMMYFUNCTION("regexreplace(lower(C5), ""_"", """")"),"siteid")</f>
        <v>siteid</v>
      </c>
      <c r="J5" s="192" t="b">
        <f t="shared" ref="J5:J11" si="3">exact(I5, K5)</f>
        <v>1</v>
      </c>
      <c r="K5" s="192" t="str">
        <f>IFERROR(__xludf.DUMMYFUNCTION("regexreplace(G5, ""_"", """")"),"siteid")</f>
        <v>siteid</v>
      </c>
      <c r="L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""$1$2"")"),"site_id")</f>
        <v>site_id</v>
      </c>
      <c r="M5" s="193"/>
      <c r="O5" s="193"/>
      <c r="P5" s="151" t="s">
        <v>24</v>
      </c>
      <c r="Q5" s="151" t="s">
        <v>24</v>
      </c>
      <c r="R5" s="193"/>
      <c r="S5" s="193"/>
      <c r="T5" s="193"/>
      <c r="U5" s="193"/>
      <c r="V5" s="193"/>
      <c r="W5" s="193"/>
      <c r="X5" s="193"/>
      <c r="Y5" s="193"/>
      <c r="Z5" s="193"/>
    </row>
    <row r="6">
      <c r="A6" s="189"/>
      <c r="B6" s="189" t="s">
        <v>20</v>
      </c>
      <c r="C6" s="154" t="s">
        <v>7189</v>
      </c>
      <c r="D6" s="154" t="s">
        <v>16</v>
      </c>
      <c r="E6" s="151" t="s">
        <v>7190</v>
      </c>
      <c r="F6" s="123">
        <f t="shared" si="1"/>
        <v>0</v>
      </c>
      <c r="G6" s="121" t="s">
        <v>7191</v>
      </c>
      <c r="H6" s="12"/>
      <c r="I6" s="192" t="str">
        <f>IFERROR(__xludf.DUMMYFUNCTION("regexreplace(lower(C6), ""_"", """")"),"sitename")</f>
        <v>sitename</v>
      </c>
      <c r="J6" s="192" t="b">
        <f t="shared" si="3"/>
        <v>1</v>
      </c>
      <c r="K6" s="192" t="str">
        <f>IFERROR(__xludf.DUMMYFUNCTION("regexreplace(G6, ""_"", """")"),"sitename")</f>
        <v>sitename</v>
      </c>
      <c r="L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""$1$2"")"),"site_name")</f>
        <v>site_name</v>
      </c>
      <c r="M6" s="193"/>
      <c r="N6" s="199"/>
      <c r="O6" s="193"/>
      <c r="P6" s="199"/>
      <c r="Q6" s="199"/>
      <c r="R6" s="194"/>
      <c r="S6" s="194"/>
      <c r="T6" s="193"/>
      <c r="U6" s="193"/>
      <c r="V6" s="193"/>
      <c r="W6" s="193"/>
      <c r="X6" s="193"/>
      <c r="Y6" s="193"/>
      <c r="Z6" s="193"/>
    </row>
    <row r="7">
      <c r="A7" s="189"/>
      <c r="B7" s="189" t="s">
        <v>20</v>
      </c>
      <c r="C7" s="154" t="s">
        <v>25</v>
      </c>
      <c r="D7" s="154" t="s">
        <v>26</v>
      </c>
      <c r="E7" s="151" t="s">
        <v>27</v>
      </c>
      <c r="F7" s="123">
        <f t="shared" si="1"/>
        <v>3</v>
      </c>
      <c r="G7" s="121" t="s">
        <v>28</v>
      </c>
      <c r="H7" s="12"/>
      <c r="I7" s="192" t="str">
        <f>IFERROR(__xludf.DUMMYFUNCTION("regexreplace(lower(C7), ""_"", """")"),"birthdate")</f>
        <v>birthdate</v>
      </c>
      <c r="J7" s="192" t="b">
        <f t="shared" si="3"/>
        <v>1</v>
      </c>
      <c r="K7" s="192" t="str">
        <f>IFERROR(__xludf.DUMMYFUNCTION("regexreplace(G7, ""_"", """")"),"birthdate")</f>
        <v>birthdate</v>
      </c>
      <c r="L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""$1$2"")"),"birth_date")</f>
        <v>birth_date</v>
      </c>
      <c r="M7" s="193"/>
      <c r="N7" s="61" t="s">
        <v>7192</v>
      </c>
      <c r="O7" s="194" t="s">
        <v>28</v>
      </c>
      <c r="P7" s="200" t="s">
        <v>29</v>
      </c>
      <c r="Q7" s="151" t="s">
        <v>29</v>
      </c>
      <c r="R7" s="194"/>
      <c r="S7" s="194"/>
      <c r="T7" s="193"/>
      <c r="U7" s="193"/>
      <c r="V7" s="193"/>
      <c r="W7" s="193"/>
      <c r="X7" s="193"/>
      <c r="Y7" s="193"/>
      <c r="Z7" s="193"/>
    </row>
    <row r="8">
      <c r="A8" s="189"/>
      <c r="B8" s="189" t="s">
        <v>20</v>
      </c>
      <c r="C8" s="154" t="s">
        <v>30</v>
      </c>
      <c r="D8" s="154" t="s">
        <v>31</v>
      </c>
      <c r="E8" s="151" t="s">
        <v>32</v>
      </c>
      <c r="F8" s="123">
        <f t="shared" si="1"/>
        <v>2</v>
      </c>
      <c r="G8" s="121" t="s">
        <v>33</v>
      </c>
      <c r="H8" s="12"/>
      <c r="I8" s="192" t="str">
        <f>IFERROR(__xludf.DUMMYFUNCTION("regexreplace(lower(C8), ""_"", """")"),"birthnumber")</f>
        <v>birthnumber</v>
      </c>
      <c r="J8" s="192" t="b">
        <f t="shared" si="3"/>
        <v>1</v>
      </c>
      <c r="K8" s="192" t="str">
        <f>IFERROR(__xludf.DUMMYFUNCTION("regexreplace(G8, ""_"", """")"),"birthnumber")</f>
        <v>birthnumber</v>
      </c>
      <c r="L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""$1$2"")"),"birth_number")</f>
        <v>birth_number</v>
      </c>
      <c r="M8" s="193"/>
      <c r="N8" s="200"/>
      <c r="O8" s="193"/>
      <c r="P8" s="200" t="s">
        <v>34</v>
      </c>
      <c r="Q8" s="151" t="s">
        <v>34</v>
      </c>
      <c r="R8" s="194"/>
      <c r="S8" s="194"/>
      <c r="T8" s="193"/>
      <c r="U8" s="193"/>
      <c r="V8" s="193"/>
      <c r="W8" s="193"/>
      <c r="X8" s="193"/>
      <c r="Y8" s="193"/>
      <c r="Z8" s="193"/>
    </row>
    <row r="9">
      <c r="A9" s="189"/>
      <c r="B9" s="189" t="s">
        <v>20</v>
      </c>
      <c r="C9" s="154" t="s">
        <v>35</v>
      </c>
      <c r="D9" s="154" t="s">
        <v>16</v>
      </c>
      <c r="E9" s="151" t="s">
        <v>36</v>
      </c>
      <c r="F9" s="123">
        <f t="shared" si="1"/>
        <v>1</v>
      </c>
      <c r="G9" s="121" t="s">
        <v>37</v>
      </c>
      <c r="H9" s="12"/>
      <c r="I9" s="192" t="str">
        <f>IFERROR(__xludf.DUMMYFUNCTION("regexreplace(lower(C9), ""_"", """")"),"screencomment")</f>
        <v>screencomment</v>
      </c>
      <c r="J9" s="192" t="b">
        <f t="shared" si="3"/>
        <v>1</v>
      </c>
      <c r="K9" s="192" t="str">
        <f>IFERROR(__xludf.DUMMYFUNCTION("regexreplace(G9, ""_"", """")"),"screencomment")</f>
        <v>screencomment</v>
      </c>
      <c r="L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""$1$2"")"),"screen_comment")</f>
        <v>screen_comment</v>
      </c>
      <c r="M9" s="193"/>
      <c r="N9" s="61" t="s">
        <v>7193</v>
      </c>
      <c r="O9" s="193"/>
      <c r="P9" s="201"/>
      <c r="Q9" s="151" t="s">
        <v>38</v>
      </c>
      <c r="R9" s="193"/>
      <c r="S9" s="193"/>
      <c r="T9" s="193"/>
      <c r="U9" s="193"/>
      <c r="V9" s="193"/>
      <c r="W9" s="193"/>
      <c r="X9" s="193"/>
      <c r="Y9" s="193"/>
      <c r="Z9" s="193"/>
    </row>
    <row r="10">
      <c r="A10" s="189"/>
      <c r="B10" s="189" t="s">
        <v>20</v>
      </c>
      <c r="C10" s="154" t="s">
        <v>39</v>
      </c>
      <c r="D10" s="154" t="s">
        <v>40</v>
      </c>
      <c r="E10" s="151" t="s">
        <v>41</v>
      </c>
      <c r="F10" s="123">
        <f t="shared" si="1"/>
        <v>1</v>
      </c>
      <c r="G10" s="121" t="s">
        <v>7194</v>
      </c>
      <c r="H10" s="12"/>
      <c r="I10" s="192" t="str">
        <f>IFERROR(__xludf.DUMMYFUNCTION("regexreplace(lower(C10), ""_"", """")"),"coretempless32p5covereq2hre")</f>
        <v>coretempless32p5covereq2hre</v>
      </c>
      <c r="J10" s="192" t="b">
        <f t="shared" si="3"/>
        <v>0</v>
      </c>
      <c r="K10" s="192" t="str">
        <f>IFERROR(__xludf.DUMMYFUNCTION("regexreplace(G10, ""_"", """")"),"coretempbelow32p5cover2hr")</f>
        <v>coretempbelow32p5cover2hr</v>
      </c>
      <c r="L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""$1$2"")"),"core_temp_less32p5c_over_eq2hr_e")</f>
        <v>core_temp_less32p5c_over_eq2hr_e</v>
      </c>
      <c r="M10" s="193"/>
      <c r="N10" s="199"/>
      <c r="O10" s="199"/>
      <c r="P10" s="199"/>
      <c r="Q10" s="151" t="s">
        <v>43</v>
      </c>
      <c r="R10" s="194"/>
      <c r="S10" s="194"/>
      <c r="T10" s="193"/>
      <c r="U10" s="193"/>
      <c r="V10" s="193"/>
      <c r="W10" s="193"/>
      <c r="X10" s="193"/>
      <c r="Y10" s="193"/>
      <c r="Z10" s="193"/>
    </row>
    <row r="11">
      <c r="A11" s="189"/>
      <c r="B11" s="189" t="s">
        <v>20</v>
      </c>
      <c r="C11" s="154" t="s">
        <v>44</v>
      </c>
      <c r="D11" s="154" t="s">
        <v>40</v>
      </c>
      <c r="E11" s="151" t="s">
        <v>45</v>
      </c>
      <c r="F11" s="123">
        <f t="shared" si="1"/>
        <v>1</v>
      </c>
      <c r="G11" s="121" t="s">
        <v>7195</v>
      </c>
      <c r="H11" s="12"/>
      <c r="I11" s="192" t="str">
        <f>IFERROR(__xludf.DUMMYFUNCTION("regexreplace(lower(C11), ""_"", """")"),"coretempless33p5cover1hre")</f>
        <v>coretempless33p5cover1hre</v>
      </c>
      <c r="J11" s="192" t="b">
        <f t="shared" si="3"/>
        <v>0</v>
      </c>
      <c r="K11" s="192" t="str">
        <f>IFERROR(__xludf.DUMMYFUNCTION("regexreplace(G11, ""_"", """")"),"coretempbelow33p5cover1hr")</f>
        <v>coretempbelow33p5cover1hr</v>
      </c>
      <c r="L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""$1$2"")"),"core_temp_less33p5c_over1hr_e")</f>
        <v>core_temp_less33p5c_over1hr_e</v>
      </c>
      <c r="M11" s="193"/>
      <c r="N11" s="151"/>
      <c r="O11" s="193"/>
      <c r="P11" s="193"/>
      <c r="Q11" s="151" t="s">
        <v>47</v>
      </c>
      <c r="R11" s="194"/>
      <c r="S11" s="194"/>
      <c r="T11" s="193"/>
      <c r="U11" s="193"/>
      <c r="V11" s="193"/>
      <c r="W11" s="193"/>
      <c r="X11" s="193"/>
      <c r="Y11" s="193"/>
      <c r="Z11" s="193"/>
    </row>
    <row r="12">
      <c r="A12" s="189"/>
      <c r="B12" s="189" t="s">
        <v>20</v>
      </c>
      <c r="C12" s="154" t="s">
        <v>48</v>
      </c>
      <c r="D12" s="154" t="s">
        <v>40</v>
      </c>
      <c r="E12" s="151" t="s">
        <v>49</v>
      </c>
      <c r="F12" s="123">
        <f t="shared" si="1"/>
        <v>1</v>
      </c>
      <c r="G12" s="121" t="s">
        <v>50</v>
      </c>
      <c r="H12" s="12"/>
      <c r="I12" s="192"/>
      <c r="J12" s="192"/>
      <c r="K12" s="192"/>
      <c r="L12" s="121"/>
      <c r="M12" s="193"/>
      <c r="N12" s="202"/>
      <c r="O12" s="193"/>
      <c r="P12" s="151" t="s">
        <v>51</v>
      </c>
      <c r="Q12" s="151"/>
      <c r="R12" s="193"/>
      <c r="S12" s="193"/>
      <c r="T12" s="193"/>
      <c r="U12" s="193"/>
      <c r="V12" s="193"/>
      <c r="W12" s="193"/>
      <c r="X12" s="193"/>
      <c r="Y12" s="193"/>
      <c r="Z12" s="193"/>
    </row>
    <row r="13">
      <c r="A13" s="189"/>
      <c r="B13" s="189" t="s">
        <v>20</v>
      </c>
      <c r="C13" s="154" t="s">
        <v>52</v>
      </c>
      <c r="D13" s="154" t="s">
        <v>40</v>
      </c>
      <c r="E13" s="152" t="s">
        <v>53</v>
      </c>
      <c r="F13" s="123">
        <f t="shared" si="1"/>
        <v>2</v>
      </c>
      <c r="G13" s="121" t="s">
        <v>7196</v>
      </c>
      <c r="H13" s="12"/>
      <c r="I13" s="192" t="str">
        <f>IFERROR(__xludf.DUMMYFUNCTION("regexreplace(lower(C13), ""_"", """")"),"first6hrcoolbyclinicalprotocole")</f>
        <v>first6hrcoolbyclinicalprotocole</v>
      </c>
      <c r="J13" s="192" t="b">
        <f t="shared" ref="J13:J38" si="4">exact(I13, K13)</f>
        <v>0</v>
      </c>
      <c r="K13" s="192" t="str">
        <f>IFERROR(__xludf.DUMMYFUNCTION("regexreplace(G13, ""_"", """")"),"first6hrcoolbyclinicalprotocol")</f>
        <v>first6hrcoolbyclinicalprotocol</v>
      </c>
      <c r="L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""$1$2"")"),"first6hr_cool_by_clinical_protocol_e")</f>
        <v>first6hr_cool_by_clinical_protocol_e</v>
      </c>
      <c r="M13" s="193"/>
      <c r="N13" s="202"/>
      <c r="O13" s="193"/>
      <c r="P13" s="202" t="s">
        <v>55</v>
      </c>
      <c r="Q13" s="151" t="s">
        <v>56</v>
      </c>
      <c r="R13" s="193"/>
      <c r="S13" s="193"/>
      <c r="T13" s="193"/>
      <c r="U13" s="193"/>
      <c r="V13" s="193"/>
      <c r="W13" s="193"/>
      <c r="X13" s="193"/>
      <c r="Y13" s="193"/>
      <c r="Z13" s="193"/>
    </row>
    <row r="14">
      <c r="A14" s="189"/>
      <c r="B14" s="189" t="s">
        <v>20</v>
      </c>
      <c r="C14" s="154" t="s">
        <v>57</v>
      </c>
      <c r="D14" s="154" t="s">
        <v>40</v>
      </c>
      <c r="E14" s="151" t="s">
        <v>58</v>
      </c>
      <c r="F14" s="123">
        <f t="shared" si="1"/>
        <v>2</v>
      </c>
      <c r="G14" s="121" t="s">
        <v>7197</v>
      </c>
      <c r="H14" s="12"/>
      <c r="I14" s="192" t="str">
        <f>IFERROR(__xludf.DUMMYFUNCTION("regexreplace(lower(C14), ""_"", """")"),"chromosomalabnormalitye")</f>
        <v>chromosomalabnormalitye</v>
      </c>
      <c r="J14" s="192" t="b">
        <f t="shared" si="4"/>
        <v>0</v>
      </c>
      <c r="K14" s="192" t="str">
        <f>IFERROR(__xludf.DUMMYFUNCTION("regexreplace(G14, ""_"", """")"),"chromosomalabnormality")</f>
        <v>chromosomalabnormality</v>
      </c>
      <c r="L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""$1$2"")"),"chromosomal_abnormality_e")</f>
        <v>chromosomal_abnormality_e</v>
      </c>
      <c r="M14" s="193"/>
      <c r="N14" s="151"/>
      <c r="O14" s="193"/>
      <c r="P14" s="151" t="s">
        <v>60</v>
      </c>
      <c r="Q14" s="151" t="s">
        <v>61</v>
      </c>
      <c r="R14" s="193"/>
      <c r="S14" s="193"/>
      <c r="T14" s="193"/>
      <c r="U14" s="193"/>
      <c r="V14" s="193"/>
      <c r="W14" s="193"/>
      <c r="X14" s="193"/>
      <c r="Y14" s="193"/>
      <c r="Z14" s="193"/>
    </row>
    <row r="15">
      <c r="A15" s="189"/>
      <c r="B15" s="189" t="s">
        <v>20</v>
      </c>
      <c r="C15" s="154" t="s">
        <v>62</v>
      </c>
      <c r="D15" s="154" t="s">
        <v>40</v>
      </c>
      <c r="E15" s="151" t="s">
        <v>63</v>
      </c>
      <c r="F15" s="123">
        <f t="shared" si="1"/>
        <v>2</v>
      </c>
      <c r="G15" s="121" t="s">
        <v>7198</v>
      </c>
      <c r="H15" s="12"/>
      <c r="I15" s="192" t="str">
        <f>IFERROR(__xludf.DUMMYFUNCTION("regexreplace(lower(C15), ""_"", """")"),"majorcongenitalanomalye")</f>
        <v>majorcongenitalanomalye</v>
      </c>
      <c r="J15" s="192" t="b">
        <f t="shared" si="4"/>
        <v>0</v>
      </c>
      <c r="K15" s="192" t="str">
        <f>IFERROR(__xludf.DUMMYFUNCTION("regexreplace(G15, ""_"", """")"),"majorcongenitalanomaly")</f>
        <v>majorcongenitalanomaly</v>
      </c>
      <c r="L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""$1$2"")"),"major_congenital_anomaly_e")</f>
        <v>major_congenital_anomaly_e</v>
      </c>
      <c r="M15" s="193"/>
      <c r="N15" s="151"/>
      <c r="O15" s="193"/>
      <c r="P15" s="151" t="s">
        <v>65</v>
      </c>
      <c r="Q15" s="151" t="s">
        <v>66</v>
      </c>
      <c r="R15" s="193"/>
      <c r="S15" s="193"/>
      <c r="T15" s="193"/>
      <c r="U15" s="193"/>
      <c r="V15" s="193"/>
      <c r="W15" s="193"/>
      <c r="X15" s="193"/>
      <c r="Y15" s="193"/>
      <c r="Z15" s="193"/>
    </row>
    <row r="16">
      <c r="A16" s="189"/>
      <c r="B16" s="189" t="s">
        <v>20</v>
      </c>
      <c r="C16" s="154" t="s">
        <v>67</v>
      </c>
      <c r="D16" s="154" t="s">
        <v>40</v>
      </c>
      <c r="E16" s="151" t="s">
        <v>68</v>
      </c>
      <c r="F16" s="123">
        <f t="shared" si="1"/>
        <v>2</v>
      </c>
      <c r="G16" s="121" t="s">
        <v>7199</v>
      </c>
      <c r="H16" s="12"/>
      <c r="I16" s="192" t="str">
        <f>IFERROR(__xludf.DUMMYFUNCTION("regexreplace(lower(C16), ""_"", """")"),"birthweightlesseq1800ge")</f>
        <v>birthweightlesseq1800ge</v>
      </c>
      <c r="J16" s="192" t="b">
        <f t="shared" si="4"/>
        <v>0</v>
      </c>
      <c r="K16" s="192" t="str">
        <f>IFERROR(__xludf.DUMMYFUNCTION("regexreplace(G16, ""_"", """")"),"birthweightbelow1800g")</f>
        <v>birthweightbelow1800g</v>
      </c>
      <c r="L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""$1$2"")"),"birth_weight_less_eq1800g_e")</f>
        <v>birth_weight_less_eq1800g_e</v>
      </c>
      <c r="M16" s="193"/>
      <c r="N16" s="151"/>
      <c r="O16" s="193"/>
      <c r="P16" s="151" t="s">
        <v>70</v>
      </c>
      <c r="Q16" s="151" t="s">
        <v>71</v>
      </c>
      <c r="R16" s="193"/>
      <c r="S16" s="193"/>
      <c r="T16" s="193"/>
      <c r="U16" s="193"/>
      <c r="V16" s="193"/>
      <c r="W16" s="193"/>
      <c r="X16" s="193"/>
      <c r="Y16" s="193"/>
      <c r="Z16" s="193"/>
    </row>
    <row r="17">
      <c r="A17" s="189"/>
      <c r="B17" s="189" t="s">
        <v>20</v>
      </c>
      <c r="C17" s="154" t="s">
        <v>72</v>
      </c>
      <c r="D17" s="154" t="s">
        <v>40</v>
      </c>
      <c r="E17" s="151" t="s">
        <v>73</v>
      </c>
      <c r="F17" s="123">
        <f t="shared" si="1"/>
        <v>2</v>
      </c>
      <c r="G17" s="121" t="s">
        <v>7200</v>
      </c>
      <c r="H17" s="12"/>
      <c r="I17" s="192" t="str">
        <f>IFERROR(__xludf.DUMMYFUNCTION("regexreplace(lower(C17), ""_"", """")"),"infantunlikelysurvivee")</f>
        <v>infantunlikelysurvivee</v>
      </c>
      <c r="J17" s="192" t="b">
        <f t="shared" si="4"/>
        <v>0</v>
      </c>
      <c r="K17" s="192" t="str">
        <f>IFERROR(__xludf.DUMMYFUNCTION("regexreplace(G17, ""_"", """")"),"infantunlikelysurvive")</f>
        <v>infantunlikelysurvive</v>
      </c>
      <c r="L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""$1$2"")"),"infant_unlikely_survive_e")</f>
        <v>infant_unlikely_survive_e</v>
      </c>
      <c r="M17" s="193"/>
      <c r="N17" s="151"/>
      <c r="O17" s="193"/>
      <c r="P17" s="151" t="s">
        <v>75</v>
      </c>
      <c r="Q17" s="151" t="s">
        <v>76</v>
      </c>
      <c r="R17" s="193"/>
      <c r="S17" s="193"/>
      <c r="T17" s="193"/>
      <c r="U17" s="193"/>
      <c r="V17" s="193"/>
      <c r="W17" s="193"/>
      <c r="X17" s="193"/>
      <c r="Y17" s="193"/>
      <c r="Z17" s="193"/>
    </row>
    <row r="18">
      <c r="A18" s="189"/>
      <c r="B18" s="189" t="s">
        <v>20</v>
      </c>
      <c r="C18" s="154" t="s">
        <v>77</v>
      </c>
      <c r="D18" s="154" t="s">
        <v>40</v>
      </c>
      <c r="E18" s="61" t="s">
        <v>78</v>
      </c>
      <c r="F18" s="123">
        <f t="shared" si="1"/>
        <v>2</v>
      </c>
      <c r="G18" s="121" t="s">
        <v>7201</v>
      </c>
      <c r="H18" s="12"/>
      <c r="I18" s="192" t="str">
        <f>IFERROR(__xludf.DUMMYFUNCTION("regexreplace(lower(C18), ""_"", """")"),"first60minallbloodgasphgreater7p15basedeficitless10meqperle")</f>
        <v>first60minallbloodgasphgreater7p15basedeficitless10meqperle</v>
      </c>
      <c r="J18" s="192" t="b">
        <f t="shared" si="4"/>
        <v>0</v>
      </c>
      <c r="K18" s="192" t="str">
        <f>IFERROR(__xludf.DUMMYFUNCTION("regexreplace(G18, ""_"", """")"),"first60minallbloodgasphabove7p15basedeficitbelow10meqperl")</f>
        <v>first60minallbloodgasphabove7p15basedeficitbelow10meqperl</v>
      </c>
      <c r="L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""$1$2"")"),"first60min_all_blood_gas_ph_greater7p15base_deficit_less10meqperl_e")</f>
        <v>first60min_all_blood_gas_ph_greater7p15base_deficit_less10meqperl_e</v>
      </c>
      <c r="M18" s="193"/>
      <c r="N18" s="151"/>
      <c r="O18" s="193"/>
      <c r="P18" s="151" t="s">
        <v>80</v>
      </c>
      <c r="Q18" s="151" t="s">
        <v>81</v>
      </c>
      <c r="R18" s="193"/>
      <c r="S18" s="193"/>
      <c r="T18" s="193"/>
      <c r="U18" s="193"/>
      <c r="V18" s="193"/>
      <c r="W18" s="193"/>
      <c r="X18" s="193"/>
      <c r="Y18" s="193"/>
      <c r="Z18" s="193"/>
    </row>
    <row r="19">
      <c r="A19" s="189"/>
      <c r="B19" s="189" t="s">
        <v>20</v>
      </c>
      <c r="C19" s="203" t="s">
        <v>82</v>
      </c>
      <c r="D19" s="154" t="s">
        <v>40</v>
      </c>
      <c r="E19" s="153" t="s">
        <v>83</v>
      </c>
      <c r="F19" s="123">
        <f t="shared" si="1"/>
        <v>1</v>
      </c>
      <c r="G19" s="121" t="s">
        <v>7202</v>
      </c>
      <c r="H19" s="49"/>
      <c r="I19" s="192" t="str">
        <f>IFERROR(__xludf.DUMMYFUNCTION("regexreplace(lower(C19), ""_"", """")"),"postnatalageless6hrorgreater24hre")</f>
        <v>postnatalageless6hrorgreater24hre</v>
      </c>
      <c r="J19" s="192" t="b">
        <f t="shared" si="4"/>
        <v>0</v>
      </c>
      <c r="K19" s="192" t="str">
        <f>IFERROR(__xludf.DUMMYFUNCTION("regexreplace(G19, ""_"", """")"),"postnatalagebelow6horabove24hr")</f>
        <v>postnatalagebelow6horabove24hr</v>
      </c>
      <c r="L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""$1$2"")"),"postnatal_age_less6hr_or_greater24hr_e")</f>
        <v>postnatal_age_less6hr_or_greater24hr_e</v>
      </c>
      <c r="M19" s="193"/>
      <c r="N19" s="202"/>
      <c r="O19" s="193"/>
      <c r="P19" s="202" t="s">
        <v>85</v>
      </c>
      <c r="Q19" s="199"/>
      <c r="R19" s="193"/>
      <c r="S19" s="193"/>
      <c r="T19" s="193"/>
      <c r="U19" s="193"/>
      <c r="V19" s="193"/>
      <c r="W19" s="193"/>
      <c r="X19" s="193"/>
      <c r="Y19" s="193"/>
      <c r="Z19" s="193"/>
    </row>
    <row r="20">
      <c r="A20" s="189"/>
      <c r="B20" s="189" t="s">
        <v>20</v>
      </c>
      <c r="C20" s="154" t="s">
        <v>86</v>
      </c>
      <c r="D20" s="154" t="s">
        <v>40</v>
      </c>
      <c r="E20" s="153" t="s">
        <v>87</v>
      </c>
      <c r="F20" s="123">
        <f t="shared" si="1"/>
        <v>1</v>
      </c>
      <c r="G20" s="121" t="s">
        <v>7203</v>
      </c>
      <c r="H20" s="12"/>
      <c r="I20" s="192" t="str">
        <f>IFERROR(__xludf.DUMMYFUNCTION("regexreplace(lower(C20), ""_"", """")"),"enrolledconflictingtriale")</f>
        <v>enrolledconflictingtriale</v>
      </c>
      <c r="J20" s="192" t="b">
        <f t="shared" si="4"/>
        <v>0</v>
      </c>
      <c r="K20" s="192" t="str">
        <f>IFERROR(__xludf.DUMMYFUNCTION("regexreplace(G20, ""_"", """")"),"enrolledconflictingtrial")</f>
        <v>enrolledconflictingtrial</v>
      </c>
      <c r="L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""$1$2"")"),"enrolled_conflicting_trial_e")</f>
        <v>enrolled_conflicting_trial_e</v>
      </c>
      <c r="M20" s="193"/>
      <c r="N20" s="202"/>
      <c r="O20" s="193"/>
      <c r="P20" s="202" t="s">
        <v>89</v>
      </c>
      <c r="Q20" s="199"/>
      <c r="R20" s="193"/>
      <c r="S20" s="193"/>
      <c r="T20" s="193"/>
      <c r="U20" s="193"/>
      <c r="V20" s="193"/>
      <c r="W20" s="193"/>
      <c r="X20" s="193"/>
      <c r="Y20" s="193"/>
      <c r="Z20" s="193"/>
    </row>
    <row r="21">
      <c r="A21" s="189"/>
      <c r="B21" s="189" t="s">
        <v>20</v>
      </c>
      <c r="C21" s="154" t="s">
        <v>90</v>
      </c>
      <c r="D21" s="154" t="s">
        <v>40</v>
      </c>
      <c r="E21" s="61" t="s">
        <v>91</v>
      </c>
      <c r="F21" s="123">
        <f t="shared" si="1"/>
        <v>2</v>
      </c>
      <c r="G21" s="121" t="s">
        <v>7204</v>
      </c>
      <c r="H21" s="12"/>
      <c r="I21" s="192" t="str">
        <f>IFERROR(__xludf.DUMMYFUNCTION("regexreplace(lower(C21), ""_"", """")"),"first60minanybloodgasphlesseq7i")</f>
        <v>first60minanybloodgasphlesseq7i</v>
      </c>
      <c r="J21" s="192" t="b">
        <f t="shared" si="4"/>
        <v>0</v>
      </c>
      <c r="K21" s="192" t="str">
        <f>IFERROR(__xludf.DUMMYFUNCTION("regexreplace(G21, ""_"", """")"),"first60minanybloodgasphbelow7")</f>
        <v>first60minanybloodgasphbelow7</v>
      </c>
      <c r="L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""$1$2"")"),"first60min_any_blood_gas_ph_less_eq7i")</f>
        <v>first60min_any_blood_gas_ph_less_eq7i</v>
      </c>
      <c r="M21" s="193"/>
      <c r="N21" s="151"/>
      <c r="O21" s="193"/>
      <c r="P21" s="151" t="s">
        <v>93</v>
      </c>
      <c r="Q21" s="151" t="s">
        <v>94</v>
      </c>
      <c r="R21" s="193"/>
      <c r="S21" s="193"/>
      <c r="T21" s="193"/>
      <c r="U21" s="193"/>
      <c r="V21" s="193"/>
      <c r="W21" s="193"/>
      <c r="X21" s="193"/>
      <c r="Y21" s="193"/>
      <c r="Z21" s="193"/>
    </row>
    <row r="22">
      <c r="A22" s="189"/>
      <c r="B22" s="189" t="s">
        <v>20</v>
      </c>
      <c r="C22" s="154" t="s">
        <v>95</v>
      </c>
      <c r="D22" s="154" t="s">
        <v>40</v>
      </c>
      <c r="E22" s="61" t="s">
        <v>96</v>
      </c>
      <c r="F22" s="123">
        <f t="shared" si="1"/>
        <v>2</v>
      </c>
      <c r="G22" s="121" t="s">
        <v>7205</v>
      </c>
      <c r="H22" s="12"/>
      <c r="I22" s="192" t="str">
        <f>IFERROR(__xludf.DUMMYFUNCTION("regexreplace(lower(C22), ""_"", """")"),"first60minanybloodgasbasedeficitgreatereq16meqperli")</f>
        <v>first60minanybloodgasbasedeficitgreatereq16meqperli</v>
      </c>
      <c r="J22" s="192" t="b">
        <f t="shared" si="4"/>
        <v>0</v>
      </c>
      <c r="K22" s="192" t="str">
        <f>IFERROR(__xludf.DUMMYFUNCTION("regexreplace(G22, ""_"", """")"),"first60minanybloodgasbasedeficitabove16meqperl")</f>
        <v>first60minanybloodgasbasedeficitabove16meqperl</v>
      </c>
      <c r="L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""$1$2"")"),"first60min_any_blood_gas_base_deficit_greater_eq16meqperl_i")</f>
        <v>first60min_any_blood_gas_base_deficit_greater_eq16meqperl_i</v>
      </c>
      <c r="M22" s="193"/>
      <c r="N22" s="151"/>
      <c r="O22" s="193"/>
      <c r="P22" s="151" t="s">
        <v>98</v>
      </c>
      <c r="Q22" s="151" t="s">
        <v>99</v>
      </c>
      <c r="R22" s="193"/>
      <c r="S22" s="193"/>
      <c r="T22" s="193"/>
      <c r="U22" s="193"/>
      <c r="V22" s="193"/>
      <c r="W22" s="193"/>
      <c r="X22" s="193"/>
      <c r="Y22" s="193"/>
      <c r="Z22" s="193"/>
    </row>
    <row r="23">
      <c r="A23" s="189"/>
      <c r="B23" s="189" t="s">
        <v>20</v>
      </c>
      <c r="C23" s="203" t="s">
        <v>100</v>
      </c>
      <c r="D23" s="154" t="s">
        <v>40</v>
      </c>
      <c r="E23" s="151" t="s">
        <v>101</v>
      </c>
      <c r="F23" s="123">
        <f t="shared" si="1"/>
        <v>2</v>
      </c>
      <c r="G23" s="121" t="s">
        <v>7206</v>
      </c>
      <c r="H23" s="49"/>
      <c r="I23" s="192" t="str">
        <f>IFERROR(__xludf.DUMMYFUNCTION("regexreplace(lower(C23), ""_"", """")"),"historyperinataleventi")</f>
        <v>historyperinataleventi</v>
      </c>
      <c r="J23" s="192" t="b">
        <f t="shared" si="4"/>
        <v>0</v>
      </c>
      <c r="K23" s="192" t="str">
        <f>IFERROR(__xludf.DUMMYFUNCTION("regexreplace(G23, ""_"", """")"),"historyperinatalevent")</f>
        <v>historyperinatalevent</v>
      </c>
      <c r="L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""$1$2"")"),"history_perinatal_event_i")</f>
        <v>history_perinatal_event_i</v>
      </c>
      <c r="M23" s="193"/>
      <c r="N23" s="151"/>
      <c r="O23" s="193"/>
      <c r="P23" s="151" t="s">
        <v>103</v>
      </c>
      <c r="Q23" s="151" t="s">
        <v>104</v>
      </c>
      <c r="R23" s="193"/>
      <c r="S23" s="193"/>
      <c r="T23" s="193"/>
      <c r="U23" s="193"/>
      <c r="V23" s="193"/>
      <c r="W23" s="193"/>
      <c r="X23" s="193"/>
      <c r="Y23" s="193"/>
      <c r="Z23" s="193"/>
    </row>
    <row r="24">
      <c r="A24" s="189"/>
      <c r="B24" s="189" t="s">
        <v>20</v>
      </c>
      <c r="C24" s="203" t="s">
        <v>105</v>
      </c>
      <c r="D24" s="154" t="s">
        <v>40</v>
      </c>
      <c r="E24" s="151" t="s">
        <v>106</v>
      </c>
      <c r="F24" s="123">
        <f t="shared" si="1"/>
        <v>2</v>
      </c>
      <c r="G24" s="121" t="s">
        <v>7207</v>
      </c>
      <c r="H24" s="49"/>
      <c r="I24" s="192" t="str">
        <f>IFERROR(__xludf.DUMMYFUNCTION("regexreplace(lower(C24), ""_"", """")"),"at10minapgarlesseq5orventi")</f>
        <v>at10minapgarlesseq5orventi</v>
      </c>
      <c r="J24" s="192" t="b">
        <f t="shared" si="4"/>
        <v>0</v>
      </c>
      <c r="K24" s="192" t="str">
        <f>IFERROR(__xludf.DUMMYFUNCTION("regexreplace(G24, ""_"", """")"),"at10minapgarbelow5orvent")</f>
        <v>at10minapgarbelow5orvent</v>
      </c>
      <c r="L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""$1$2"")"),"at10min_apgar_less_eq5or_vent_i")</f>
        <v>at10min_apgar_less_eq5or_vent_i</v>
      </c>
      <c r="M24" s="193"/>
      <c r="N24" s="200"/>
      <c r="O24" s="193"/>
      <c r="P24" s="151" t="s">
        <v>108</v>
      </c>
      <c r="Q24" s="151" t="s">
        <v>109</v>
      </c>
      <c r="R24" s="193"/>
      <c r="S24" s="193"/>
      <c r="T24" s="193"/>
      <c r="U24" s="193"/>
      <c r="V24" s="193"/>
      <c r="W24" s="193"/>
      <c r="X24" s="193"/>
      <c r="Y24" s="193"/>
      <c r="Z24" s="193"/>
    </row>
    <row r="25">
      <c r="A25" s="189"/>
      <c r="B25" s="189" t="s">
        <v>20</v>
      </c>
      <c r="C25" s="154"/>
      <c r="D25" s="154"/>
      <c r="E25" s="194" t="s">
        <v>7208</v>
      </c>
      <c r="F25" s="123">
        <f t="shared" si="1"/>
        <v>2</v>
      </c>
      <c r="G25" s="121" t="s">
        <v>851</v>
      </c>
      <c r="H25" s="12"/>
      <c r="I25" s="192" t="str">
        <f>IFERROR(__xludf.DUMMYFUNCTION("regexreplace(lower(C25), ""_"", """")"),"")</f>
        <v/>
      </c>
      <c r="J25" s="192" t="b">
        <f t="shared" si="4"/>
        <v>1</v>
      </c>
      <c r="K25" s="192" t="str">
        <f>IFERROR(__xludf.DUMMYFUNCTION("regexreplace(G25, ""_"", """")"),"")</f>
        <v/>
      </c>
      <c r="L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""$1$2"")"),"")</f>
        <v/>
      </c>
      <c r="M25" s="193"/>
      <c r="N25" s="194"/>
      <c r="O25" s="193"/>
      <c r="P25" s="194" t="s">
        <v>7209</v>
      </c>
      <c r="Q25" s="151" t="s">
        <v>7210</v>
      </c>
      <c r="R25" s="193"/>
      <c r="S25" s="193"/>
      <c r="T25" s="193"/>
      <c r="U25" s="193"/>
      <c r="V25" s="193"/>
      <c r="W25" s="193"/>
      <c r="X25" s="193"/>
      <c r="Y25" s="193"/>
      <c r="Z25" s="193"/>
    </row>
    <row r="26">
      <c r="A26" s="189"/>
      <c r="B26" s="189" t="s">
        <v>20</v>
      </c>
      <c r="C26" s="154" t="s">
        <v>110</v>
      </c>
      <c r="D26" s="154" t="s">
        <v>40</v>
      </c>
      <c r="E26" s="151" t="s">
        <v>111</v>
      </c>
      <c r="F26" s="123">
        <f t="shared" si="1"/>
        <v>1</v>
      </c>
      <c r="G26" s="121" t="s">
        <v>112</v>
      </c>
      <c r="H26" s="12"/>
      <c r="I26" s="192" t="str">
        <f>IFERROR(__xludf.DUMMYFUNCTION("regexreplace(lower(C26), ""_"", """")"),"randomeligible")</f>
        <v>randomeligible</v>
      </c>
      <c r="J26" s="192" t="b">
        <f t="shared" si="4"/>
        <v>1</v>
      </c>
      <c r="K26" s="192" t="str">
        <f>IFERROR(__xludf.DUMMYFUNCTION("regexreplace(G26, ""_"", """")"),"randomeligible")</f>
        <v>randomeligible</v>
      </c>
      <c r="L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""$1$2"")"),"random_eligible")</f>
        <v>random_eligible</v>
      </c>
      <c r="M26" s="193"/>
      <c r="N26" s="199"/>
      <c r="O26" s="193"/>
      <c r="P26" s="199"/>
      <c r="Q26" s="151" t="s">
        <v>113</v>
      </c>
      <c r="R26" s="193"/>
      <c r="S26" s="193"/>
      <c r="T26" s="193"/>
      <c r="U26" s="193"/>
      <c r="V26" s="193"/>
      <c r="W26" s="193"/>
      <c r="X26" s="193"/>
      <c r="Y26" s="193"/>
      <c r="Z26" s="193"/>
    </row>
    <row r="27">
      <c r="A27" s="189"/>
      <c r="B27" s="189" t="s">
        <v>20</v>
      </c>
      <c r="C27" s="154" t="s">
        <v>114</v>
      </c>
      <c r="D27" s="154" t="s">
        <v>114</v>
      </c>
      <c r="E27" s="151" t="s">
        <v>115</v>
      </c>
      <c r="F27" s="123">
        <f t="shared" si="1"/>
        <v>2</v>
      </c>
      <c r="G27" s="121" t="s">
        <v>116</v>
      </c>
      <c r="H27" s="12"/>
      <c r="I27" s="192" t="str">
        <f>IFERROR(__xludf.DUMMYFUNCTION("regexreplace(lower(C27), ""_"", """")"),"consentstatus")</f>
        <v>consentstatus</v>
      </c>
      <c r="J27" s="192" t="b">
        <f t="shared" si="4"/>
        <v>1</v>
      </c>
      <c r="K27" s="192" t="str">
        <f>IFERROR(__xludf.DUMMYFUNCTION("regexreplace(G27, ""_"", """")"),"consentstatus")</f>
        <v>consentstatus</v>
      </c>
      <c r="L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""$1$2"")"),"consent_status")</f>
        <v>consent_status</v>
      </c>
      <c r="M27" s="193"/>
      <c r="N27" s="151" t="s">
        <v>7211</v>
      </c>
      <c r="O27" s="193"/>
      <c r="P27" s="151" t="s">
        <v>117</v>
      </c>
      <c r="Q27" s="151" t="s">
        <v>118</v>
      </c>
      <c r="R27" s="193"/>
      <c r="S27" s="193"/>
      <c r="T27" s="193"/>
      <c r="U27" s="193"/>
      <c r="V27" s="193"/>
      <c r="W27" s="193"/>
      <c r="X27" s="193"/>
      <c r="Y27" s="193"/>
      <c r="Z27" s="193"/>
    </row>
    <row r="28">
      <c r="A28" s="189"/>
      <c r="B28" s="189" t="s">
        <v>20</v>
      </c>
      <c r="C28" s="154" t="s">
        <v>119</v>
      </c>
      <c r="D28" s="154" t="s">
        <v>16</v>
      </c>
      <c r="E28" s="151" t="s">
        <v>120</v>
      </c>
      <c r="F28" s="123">
        <f t="shared" si="1"/>
        <v>2</v>
      </c>
      <c r="G28" s="121" t="s">
        <v>121</v>
      </c>
      <c r="H28" s="12"/>
      <c r="I28" s="192" t="str">
        <f>IFERROR(__xludf.DUMMYFUNCTION("regexreplace(lower(C28), ""_"", """")"),"noconsentreason")</f>
        <v>noconsentreason</v>
      </c>
      <c r="J28" s="192" t="b">
        <f t="shared" si="4"/>
        <v>1</v>
      </c>
      <c r="K28" s="192" t="str">
        <f>IFERROR(__xludf.DUMMYFUNCTION("regexreplace(G28, ""_"", """")"),"noconsentreason")</f>
        <v>noconsentreason</v>
      </c>
      <c r="L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""$1$2"")"),"no_consent_reason")</f>
        <v>no_consent_reason</v>
      </c>
      <c r="M28" s="193"/>
      <c r="N28" s="151"/>
      <c r="O28" s="193"/>
      <c r="P28" s="151" t="s">
        <v>122</v>
      </c>
      <c r="Q28" s="151" t="s">
        <v>123</v>
      </c>
      <c r="R28" s="193"/>
      <c r="S28" s="193"/>
      <c r="T28" s="193"/>
      <c r="U28" s="193"/>
      <c r="V28" s="193"/>
      <c r="W28" s="193"/>
      <c r="X28" s="193"/>
      <c r="Y28" s="193"/>
      <c r="Z28" s="193"/>
    </row>
    <row r="29">
      <c r="A29" s="189"/>
      <c r="B29" s="189" t="s">
        <v>20</v>
      </c>
      <c r="C29" s="154" t="s">
        <v>124</v>
      </c>
      <c r="D29" s="154" t="s">
        <v>16</v>
      </c>
      <c r="E29" s="204" t="s">
        <v>125</v>
      </c>
      <c r="F29" s="123">
        <f t="shared" si="1"/>
        <v>1</v>
      </c>
      <c r="G29" s="121" t="s">
        <v>126</v>
      </c>
      <c r="H29" s="12"/>
      <c r="I29" s="192" t="str">
        <f>IFERROR(__xludf.DUMMYFUNCTION("regexreplace(lower(C29), ""_"", """")"),"noinstudyreason")</f>
        <v>noinstudyreason</v>
      </c>
      <c r="J29" s="192" t="b">
        <f t="shared" si="4"/>
        <v>1</v>
      </c>
      <c r="K29" s="192" t="str">
        <f>IFERROR(__xludf.DUMMYFUNCTION("regexreplace(G29, ""_"", """")"),"noinstudyreason")</f>
        <v>noinstudyreason</v>
      </c>
      <c r="L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""$1$2"")"),"no_in_study_reason")</f>
        <v>no_in_study_reason</v>
      </c>
      <c r="M29" s="193"/>
      <c r="N29" s="194" t="s">
        <v>7212</v>
      </c>
      <c r="O29" s="193"/>
      <c r="P29" s="205" t="s">
        <v>127</v>
      </c>
      <c r="Q29" s="199"/>
      <c r="R29" s="193"/>
      <c r="S29" s="193"/>
      <c r="T29" s="193"/>
      <c r="U29" s="193"/>
      <c r="V29" s="193"/>
      <c r="W29" s="193"/>
      <c r="X29" s="193"/>
      <c r="Y29" s="193"/>
      <c r="Z29" s="193"/>
    </row>
    <row r="30">
      <c r="A30" s="189"/>
      <c r="B30" s="189" t="s">
        <v>20</v>
      </c>
      <c r="C30" s="154" t="s">
        <v>128</v>
      </c>
      <c r="D30" s="154" t="s">
        <v>40</v>
      </c>
      <c r="E30" s="151" t="s">
        <v>129</v>
      </c>
      <c r="F30" s="123">
        <f t="shared" si="1"/>
        <v>1</v>
      </c>
      <c r="G30" s="121" t="s">
        <v>128</v>
      </c>
      <c r="H30" s="12"/>
      <c r="I30" s="192" t="str">
        <f>IFERROR(__xludf.DUMMYFUNCTION("regexreplace(lower(C30), ""_"", """")"),"random")</f>
        <v>random</v>
      </c>
      <c r="J30" s="192" t="b">
        <f t="shared" si="4"/>
        <v>1</v>
      </c>
      <c r="K30" s="192" t="str">
        <f>IFERROR(__xludf.DUMMYFUNCTION("regexreplace(G30, ""_"", """")"),"random")</f>
        <v>random</v>
      </c>
      <c r="L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""$1$2"")"),"random")</f>
        <v>random</v>
      </c>
      <c r="M30" s="193"/>
      <c r="N30" s="199"/>
      <c r="O30" s="193"/>
      <c r="P30" s="199"/>
      <c r="Q30" s="151" t="s">
        <v>130</v>
      </c>
      <c r="R30" s="193"/>
      <c r="S30" s="193"/>
      <c r="T30" s="193"/>
      <c r="U30" s="193"/>
      <c r="V30" s="193"/>
      <c r="W30" s="193"/>
      <c r="X30" s="193"/>
      <c r="Y30" s="193"/>
      <c r="Z30" s="193"/>
    </row>
    <row r="31">
      <c r="A31" s="189"/>
      <c r="B31" s="189" t="s">
        <v>20</v>
      </c>
      <c r="C31" s="154" t="s">
        <v>131</v>
      </c>
      <c r="D31" s="154" t="s">
        <v>16</v>
      </c>
      <c r="E31" s="151" t="s">
        <v>132</v>
      </c>
      <c r="F31" s="123">
        <f t="shared" si="1"/>
        <v>1</v>
      </c>
      <c r="G31" s="121" t="s">
        <v>133</v>
      </c>
      <c r="H31" s="12"/>
      <c r="I31" s="192" t="str">
        <f>IFERROR(__xludf.DUMMYFUNCTION("regexreplace(lower(C31), ""_"", """")"),"norandomreason")</f>
        <v>norandomreason</v>
      </c>
      <c r="J31" s="192" t="b">
        <f t="shared" si="4"/>
        <v>1</v>
      </c>
      <c r="K31" s="192" t="str">
        <f>IFERROR(__xludf.DUMMYFUNCTION("regexreplace(G31, ""_"", """")"),"norandomreason")</f>
        <v>norandomreason</v>
      </c>
      <c r="L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""$1$2"")"),"no_random_reason")</f>
        <v>no_random_reason</v>
      </c>
      <c r="M31" s="193"/>
      <c r="N31" s="199"/>
      <c r="O31" s="193"/>
      <c r="P31" s="199"/>
      <c r="Q31" s="151" t="s">
        <v>134</v>
      </c>
      <c r="R31" s="193"/>
      <c r="S31" s="193"/>
      <c r="T31" s="193"/>
      <c r="U31" s="193"/>
      <c r="V31" s="193"/>
      <c r="W31" s="193"/>
      <c r="X31" s="193"/>
      <c r="Y31" s="193"/>
      <c r="Z31" s="193"/>
    </row>
    <row r="32">
      <c r="A32" s="189"/>
      <c r="B32" s="189" t="s">
        <v>20</v>
      </c>
      <c r="C32" s="154" t="s">
        <v>135</v>
      </c>
      <c r="D32" s="154" t="s">
        <v>16</v>
      </c>
      <c r="E32" s="151" t="s">
        <v>136</v>
      </c>
      <c r="F32" s="123">
        <f t="shared" si="1"/>
        <v>1</v>
      </c>
      <c r="G32" s="121" t="s">
        <v>137</v>
      </c>
      <c r="H32" s="12"/>
      <c r="I32" s="192" t="str">
        <f>IFERROR(__xludf.DUMMYFUNCTION("regexreplace(lower(C32), ""_"", """")"),"norandomreasontext")</f>
        <v>norandomreasontext</v>
      </c>
      <c r="J32" s="192" t="b">
        <f t="shared" si="4"/>
        <v>1</v>
      </c>
      <c r="K32" s="192" t="str">
        <f>IFERROR(__xludf.DUMMYFUNCTION("regexreplace(G32, ""_"", """")"),"norandomreasontext")</f>
        <v>norandomreasontext</v>
      </c>
      <c r="L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""$1$2"")"),"no_random_reason_text")</f>
        <v>no_random_reason_text</v>
      </c>
      <c r="M32" s="193"/>
      <c r="N32" s="199"/>
      <c r="O32" s="193"/>
      <c r="P32" s="199"/>
      <c r="Q32" s="151" t="s">
        <v>138</v>
      </c>
      <c r="R32" s="193"/>
      <c r="S32" s="193"/>
      <c r="T32" s="193"/>
      <c r="U32" s="193"/>
      <c r="V32" s="193"/>
      <c r="W32" s="193"/>
      <c r="X32" s="193"/>
      <c r="Y32" s="193"/>
      <c r="Z32" s="193"/>
    </row>
    <row r="33">
      <c r="A33" s="189"/>
      <c r="B33" s="189" t="s">
        <v>20</v>
      </c>
      <c r="C33" s="154" t="s">
        <v>139</v>
      </c>
      <c r="D33" s="154" t="s">
        <v>26</v>
      </c>
      <c r="E33" s="151" t="s">
        <v>140</v>
      </c>
      <c r="F33" s="123">
        <f t="shared" si="1"/>
        <v>2</v>
      </c>
      <c r="G33" s="121" t="s">
        <v>141</v>
      </c>
      <c r="H33" s="12"/>
      <c r="I33" s="192" t="str">
        <f>IFERROR(__xludf.DUMMYFUNCTION("regexreplace(lower(C33), ""_"", """")"),"randomdate")</f>
        <v>randomdate</v>
      </c>
      <c r="J33" s="192" t="b">
        <f t="shared" si="4"/>
        <v>1</v>
      </c>
      <c r="K33" s="192" t="str">
        <f>IFERROR(__xludf.DUMMYFUNCTION("regexreplace(G33, ""_"", """")"),"randomdate")</f>
        <v>randomdate</v>
      </c>
      <c r="L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""$1$2"")"),"random_date")</f>
        <v>random_date</v>
      </c>
      <c r="M33" s="193"/>
      <c r="N33" s="151" t="s">
        <v>7213</v>
      </c>
      <c r="O33" s="193"/>
      <c r="P33" s="151" t="s">
        <v>142</v>
      </c>
      <c r="Q33" s="151" t="s">
        <v>143</v>
      </c>
      <c r="R33" s="193"/>
      <c r="S33" s="193"/>
      <c r="T33" s="193"/>
      <c r="U33" s="193"/>
      <c r="V33" s="193"/>
      <c r="W33" s="193"/>
      <c r="X33" s="193"/>
      <c r="Y33" s="193"/>
      <c r="Z33" s="193"/>
    </row>
    <row r="34">
      <c r="A34" s="189"/>
      <c r="B34" s="189" t="s">
        <v>20</v>
      </c>
      <c r="C34" s="154" t="s">
        <v>144</v>
      </c>
      <c r="D34" s="154" t="s">
        <v>145</v>
      </c>
      <c r="E34" s="151" t="s">
        <v>146</v>
      </c>
      <c r="F34" s="123">
        <f t="shared" si="1"/>
        <v>3</v>
      </c>
      <c r="G34" s="121" t="s">
        <v>147</v>
      </c>
      <c r="H34" s="12"/>
      <c r="I34" s="192" t="str">
        <f>IFERROR(__xludf.DUMMYFUNCTION("regexreplace(lower(C34), ""_"", """")"),"randomtime")</f>
        <v>randomtime</v>
      </c>
      <c r="J34" s="192" t="b">
        <f t="shared" si="4"/>
        <v>1</v>
      </c>
      <c r="K34" s="192" t="str">
        <f>IFERROR(__xludf.DUMMYFUNCTION("regexreplace(G34, ""_"", """")"),"randomtime")</f>
        <v>randomtime</v>
      </c>
      <c r="L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""$1$2"")"),"random_time")</f>
        <v>random_time</v>
      </c>
      <c r="M34" s="193"/>
      <c r="N34" s="151"/>
      <c r="O34" s="194" t="s">
        <v>7214</v>
      </c>
      <c r="P34" s="151" t="s">
        <v>148</v>
      </c>
      <c r="Q34" s="151" t="s">
        <v>149</v>
      </c>
      <c r="R34" s="193"/>
      <c r="S34" s="193"/>
      <c r="T34" s="193"/>
      <c r="U34" s="193"/>
      <c r="V34" s="193"/>
      <c r="W34" s="193"/>
      <c r="X34" s="193"/>
      <c r="Y34" s="193"/>
      <c r="Z34" s="193"/>
    </row>
    <row r="35">
      <c r="A35" s="189"/>
      <c r="B35" s="189" t="s">
        <v>20</v>
      </c>
      <c r="C35" s="154" t="s">
        <v>150</v>
      </c>
      <c r="D35" s="154" t="s">
        <v>16</v>
      </c>
      <c r="E35" s="151" t="s">
        <v>151</v>
      </c>
      <c r="F35" s="123">
        <f t="shared" si="1"/>
        <v>2</v>
      </c>
      <c r="G35" s="121" t="s">
        <v>152</v>
      </c>
      <c r="H35" s="12"/>
      <c r="I35" s="192" t="str">
        <f>IFERROR(__xludf.DUMMYFUNCTION("regexreplace(lower(C35), ""_"", """")"),"randomnumber")</f>
        <v>randomnumber</v>
      </c>
      <c r="J35" s="192" t="b">
        <f t="shared" si="4"/>
        <v>1</v>
      </c>
      <c r="K35" s="192" t="str">
        <f>IFERROR(__xludf.DUMMYFUNCTION("regexreplace(G35, ""_"", """")"),"randomnumber")</f>
        <v>randomnumber</v>
      </c>
      <c r="L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""$1$2"")"),"random_number")</f>
        <v>random_number</v>
      </c>
      <c r="M35" s="193"/>
      <c r="N35" s="151"/>
      <c r="O35" s="193"/>
      <c r="P35" s="151" t="s">
        <v>153</v>
      </c>
      <c r="Q35" s="151" t="s">
        <v>154</v>
      </c>
      <c r="R35" s="193"/>
      <c r="S35" s="193"/>
      <c r="T35" s="193"/>
      <c r="U35" s="193"/>
      <c r="V35" s="193"/>
      <c r="W35" s="193"/>
      <c r="X35" s="193"/>
      <c r="Y35" s="193"/>
      <c r="Z35" s="193"/>
    </row>
    <row r="36">
      <c r="A36" s="189"/>
      <c r="B36" s="189" t="s">
        <v>20</v>
      </c>
      <c r="C36" s="154" t="s">
        <v>155</v>
      </c>
      <c r="D36" s="154" t="s">
        <v>156</v>
      </c>
      <c r="E36" s="151" t="s">
        <v>157</v>
      </c>
      <c r="F36" s="123">
        <f t="shared" si="1"/>
        <v>3</v>
      </c>
      <c r="G36" s="121" t="s">
        <v>158</v>
      </c>
      <c r="H36" s="12"/>
      <c r="I36" s="192" t="str">
        <f>IFERROR(__xludf.DUMMYFUNCTION("regexreplace(lower(C36), ""_"", """")"),"randomtreatmentassign")</f>
        <v>randomtreatmentassign</v>
      </c>
      <c r="J36" s="192" t="b">
        <f t="shared" si="4"/>
        <v>1</v>
      </c>
      <c r="K36" s="192" t="str">
        <f>IFERROR(__xludf.DUMMYFUNCTION("regexreplace(G36, ""_"", """")"),"randomtreatmentassign")</f>
        <v>randomtreatmentassign</v>
      </c>
      <c r="L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""$1$2"")"),"random_treatment_assign")</f>
        <v>random_treatment_assign</v>
      </c>
      <c r="M36" s="61" t="s">
        <v>7215</v>
      </c>
      <c r="N36" s="206"/>
      <c r="O36" s="194" t="s">
        <v>7216</v>
      </c>
      <c r="P36" s="206" t="s">
        <v>159</v>
      </c>
      <c r="Q36" s="151" t="s">
        <v>160</v>
      </c>
      <c r="R36" s="193"/>
      <c r="S36" s="193"/>
      <c r="T36" s="193"/>
      <c r="U36" s="193"/>
      <c r="V36" s="193"/>
      <c r="W36" s="193"/>
      <c r="X36" s="193"/>
      <c r="Y36" s="193"/>
      <c r="Z36" s="193"/>
    </row>
    <row r="37">
      <c r="A37" s="189"/>
      <c r="B37" s="189" t="s">
        <v>20</v>
      </c>
      <c r="C37" s="154" t="s">
        <v>161</v>
      </c>
      <c r="D37" s="154" t="s">
        <v>40</v>
      </c>
      <c r="E37" s="151" t="s">
        <v>162</v>
      </c>
      <c r="F37" s="123">
        <f t="shared" si="1"/>
        <v>1</v>
      </c>
      <c r="G37" s="121" t="s">
        <v>163</v>
      </c>
      <c r="H37" s="12"/>
      <c r="I37" s="192" t="str">
        <f>IFERROR(__xludf.DUMMYFUNCTION("regexreplace(lower(C37), ""_"", """")"),"randomtreatmentreceive")</f>
        <v>randomtreatmentreceive</v>
      </c>
      <c r="J37" s="192" t="b">
        <f t="shared" si="4"/>
        <v>1</v>
      </c>
      <c r="K37" s="192" t="str">
        <f>IFERROR(__xludf.DUMMYFUNCTION("regexreplace(G37, ""_"", """")"),"randomtreatmentreceive")</f>
        <v>randomtreatmentreceive</v>
      </c>
      <c r="L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""$1$2"")"),"random_treatment_receive")</f>
        <v>random_treatment_receive</v>
      </c>
      <c r="M37" s="193"/>
      <c r="N37" s="199"/>
      <c r="O37" s="193"/>
      <c r="P37" s="199"/>
      <c r="Q37" s="151" t="s">
        <v>164</v>
      </c>
      <c r="R37" s="193"/>
      <c r="S37" s="193"/>
      <c r="T37" s="193"/>
      <c r="U37" s="193"/>
      <c r="V37" s="193"/>
      <c r="W37" s="193"/>
      <c r="X37" s="193"/>
      <c r="Y37" s="193"/>
      <c r="Z37" s="193"/>
    </row>
    <row r="38">
      <c r="A38" s="189"/>
      <c r="B38" s="189" t="s">
        <v>20</v>
      </c>
      <c r="C38" s="154" t="s">
        <v>165</v>
      </c>
      <c r="D38" s="154" t="s">
        <v>166</v>
      </c>
      <c r="E38" s="151" t="s">
        <v>167</v>
      </c>
      <c r="F38" s="123">
        <f t="shared" si="1"/>
        <v>1</v>
      </c>
      <c r="G38" s="121" t="s">
        <v>168</v>
      </c>
      <c r="H38" s="12"/>
      <c r="I38" s="192" t="str">
        <f>IFERROR(__xludf.DUMMYFUNCTION("regexreplace(lower(C38), ""_"", """")"),"treatmentblankettype")</f>
        <v>treatmentblankettype</v>
      </c>
      <c r="J38" s="192" t="b">
        <f t="shared" si="4"/>
        <v>1</v>
      </c>
      <c r="K38" s="192" t="str">
        <f>IFERROR(__xludf.DUMMYFUNCTION("regexreplace(G38, ""_"", """")"),"treatmentblankettype")</f>
        <v>treatmentblankettype</v>
      </c>
      <c r="L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""$1$2"")"),"treatment_blanket_type")</f>
        <v>treatment_blanket_type</v>
      </c>
      <c r="M38" s="193"/>
      <c r="N38" s="199"/>
      <c r="O38" s="193"/>
      <c r="P38" s="199"/>
      <c r="Q38" s="151" t="s">
        <v>169</v>
      </c>
      <c r="R38" s="207"/>
      <c r="S38" s="207"/>
      <c r="T38" s="193"/>
      <c r="U38" s="193"/>
      <c r="V38" s="193"/>
      <c r="W38" s="193"/>
      <c r="X38" s="193"/>
      <c r="Y38" s="193"/>
      <c r="Z38" s="193"/>
    </row>
    <row r="39">
      <c r="A39" s="208"/>
      <c r="B39" s="189" t="s">
        <v>20</v>
      </c>
      <c r="C39" s="154"/>
      <c r="D39" s="154" t="s">
        <v>40</v>
      </c>
      <c r="E39" s="61" t="s">
        <v>170</v>
      </c>
      <c r="F39" s="123">
        <f t="shared" si="1"/>
        <v>0</v>
      </c>
      <c r="G39" s="121"/>
      <c r="H39" s="12"/>
      <c r="I39" s="192"/>
      <c r="J39" s="192"/>
      <c r="K39" s="192"/>
      <c r="L39" s="121"/>
      <c r="M39" s="61" t="s">
        <v>7217</v>
      </c>
      <c r="N39" s="209"/>
      <c r="O39" s="193"/>
      <c r="P39" s="209"/>
      <c r="Q39" s="151"/>
      <c r="R39" s="193"/>
      <c r="S39" s="193"/>
      <c r="T39" s="193"/>
      <c r="U39" s="193"/>
      <c r="V39" s="193"/>
      <c r="W39" s="193"/>
      <c r="X39" s="193"/>
      <c r="Y39" s="193"/>
      <c r="Z39" s="193"/>
    </row>
    <row r="40">
      <c r="A40" s="208"/>
      <c r="B40" s="208"/>
      <c r="C40" s="154"/>
      <c r="D40" s="154"/>
      <c r="E40" s="194" t="s">
        <v>7218</v>
      </c>
      <c r="F40" s="123">
        <f t="shared" si="1"/>
        <v>0</v>
      </c>
      <c r="G40" s="121" t="s">
        <v>851</v>
      </c>
      <c r="H40" s="12"/>
      <c r="I40" s="192" t="str">
        <f>IFERROR(__xludf.DUMMYFUNCTION("regexreplace(lower(C40), ""_"", """")"),"")</f>
        <v/>
      </c>
      <c r="J40" s="192" t="b">
        <f t="shared" ref="J40:J42" si="5">exact(I40, K40)</f>
        <v>1</v>
      </c>
      <c r="K40" s="192" t="str">
        <f>IFERROR(__xludf.DUMMYFUNCTION("regexreplace(G40, ""_"", """")"),"")</f>
        <v/>
      </c>
      <c r="L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""$1$2"")"),"")</f>
        <v/>
      </c>
      <c r="M40" s="193"/>
      <c r="N40" s="209"/>
      <c r="O40" s="193"/>
      <c r="P40" s="209"/>
      <c r="Q40" s="151"/>
      <c r="R40" s="193"/>
      <c r="S40" s="193"/>
      <c r="T40" s="193"/>
      <c r="U40" s="193"/>
      <c r="V40" s="193"/>
      <c r="W40" s="193"/>
      <c r="X40" s="193"/>
      <c r="Y40" s="193"/>
      <c r="Z40" s="193"/>
    </row>
    <row r="41">
      <c r="A41" s="189"/>
      <c r="B41" s="189" t="s">
        <v>20</v>
      </c>
      <c r="C41" s="154" t="s">
        <v>171</v>
      </c>
      <c r="D41" s="154" t="s">
        <v>40</v>
      </c>
      <c r="E41" s="151" t="s">
        <v>172</v>
      </c>
      <c r="F41" s="123">
        <f t="shared" si="1"/>
        <v>2</v>
      </c>
      <c r="G41" s="121" t="s">
        <v>173</v>
      </c>
      <c r="H41" s="12"/>
      <c r="I41" s="192" t="str">
        <f>IFERROR(__xludf.DUMMYFUNCTION("regexreplace(lower(C41), ""_"", """")"),"inothertrial")</f>
        <v>inothertrial</v>
      </c>
      <c r="J41" s="192" t="b">
        <f t="shared" si="5"/>
        <v>1</v>
      </c>
      <c r="K41" s="192" t="str">
        <f>IFERROR(__xludf.DUMMYFUNCTION("regexreplace(G41, ""_"", """")"),"inothertrial")</f>
        <v>inothertrial</v>
      </c>
      <c r="L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""$1$2"")"),"in_other_trial")</f>
        <v>in_other_trial</v>
      </c>
      <c r="M41" s="61" t="s">
        <v>7219</v>
      </c>
      <c r="N41" s="210"/>
      <c r="O41" s="193"/>
      <c r="P41" s="210" t="s">
        <v>174</v>
      </c>
      <c r="Q41" s="206" t="s">
        <v>175</v>
      </c>
      <c r="R41" s="193"/>
      <c r="S41" s="193"/>
      <c r="T41" s="193"/>
      <c r="U41" s="193"/>
      <c r="V41" s="193"/>
      <c r="W41" s="193"/>
      <c r="X41" s="193"/>
      <c r="Y41" s="193"/>
      <c r="Z41" s="193"/>
    </row>
    <row r="42">
      <c r="A42" s="189"/>
      <c r="B42" s="189" t="s">
        <v>20</v>
      </c>
      <c r="C42" s="154" t="s">
        <v>176</v>
      </c>
      <c r="D42" s="154" t="s">
        <v>16</v>
      </c>
      <c r="E42" s="151" t="s">
        <v>177</v>
      </c>
      <c r="F42" s="123">
        <f t="shared" si="1"/>
        <v>2</v>
      </c>
      <c r="G42" s="121" t="s">
        <v>178</v>
      </c>
      <c r="H42" s="12"/>
      <c r="I42" s="192" t="str">
        <f>IFERROR(__xludf.DUMMYFUNCTION("regexreplace(lower(C42), ""_"", """")"),"inothertrialtext")</f>
        <v>inothertrialtext</v>
      </c>
      <c r="J42" s="192" t="b">
        <f t="shared" si="5"/>
        <v>1</v>
      </c>
      <c r="K42" s="192" t="str">
        <f>IFERROR(__xludf.DUMMYFUNCTION("regexreplace(G42, ""_"", """")"),"inothertrialtext")</f>
        <v>inothertrialtext</v>
      </c>
      <c r="L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""$1$2"")"),"in_other_trial_text")</f>
        <v>in_other_trial_text</v>
      </c>
      <c r="M42" s="193"/>
      <c r="N42" s="210"/>
      <c r="O42" s="193"/>
      <c r="P42" s="210" t="s">
        <v>179</v>
      </c>
      <c r="Q42" s="206" t="s">
        <v>180</v>
      </c>
      <c r="R42" s="193"/>
      <c r="S42" s="193"/>
      <c r="T42" s="193"/>
      <c r="U42" s="193"/>
      <c r="V42" s="193"/>
      <c r="W42" s="193"/>
      <c r="X42" s="193"/>
      <c r="Y42" s="193"/>
      <c r="Z42" s="193"/>
    </row>
    <row r="43">
      <c r="A43" s="189"/>
      <c r="B43" s="189" t="s">
        <v>20</v>
      </c>
      <c r="C43" s="203" t="s">
        <v>181</v>
      </c>
      <c r="D43" s="154"/>
      <c r="E43" s="151" t="s">
        <v>182</v>
      </c>
      <c r="F43" s="123">
        <f t="shared" si="1"/>
        <v>1</v>
      </c>
      <c r="G43" s="121" t="s">
        <v>183</v>
      </c>
      <c r="H43" s="49"/>
      <c r="I43" s="192"/>
      <c r="J43" s="192"/>
      <c r="K43" s="192"/>
      <c r="L43" s="121"/>
      <c r="M43" s="193"/>
      <c r="N43" s="211"/>
      <c r="O43" s="193"/>
      <c r="P43" s="151"/>
      <c r="Q43" s="151"/>
      <c r="R43" s="194"/>
      <c r="S43" s="194" t="s">
        <v>183</v>
      </c>
      <c r="T43" s="193"/>
      <c r="U43" s="193"/>
      <c r="V43" s="193"/>
      <c r="W43" s="193"/>
      <c r="X43" s="193"/>
      <c r="Y43" s="193"/>
      <c r="Z43" s="193"/>
    </row>
    <row r="44">
      <c r="A44" s="189"/>
      <c r="B44" s="189" t="s">
        <v>20</v>
      </c>
      <c r="C44" s="203" t="s">
        <v>184</v>
      </c>
      <c r="D44" s="154"/>
      <c r="E44" s="151" t="s">
        <v>185</v>
      </c>
      <c r="F44" s="123">
        <f t="shared" si="1"/>
        <v>2</v>
      </c>
      <c r="G44" s="121"/>
      <c r="H44" s="49"/>
      <c r="I44" s="192"/>
      <c r="J44" s="192"/>
      <c r="K44" s="192"/>
      <c r="L44" s="121"/>
      <c r="M44" s="193"/>
      <c r="N44" s="211"/>
      <c r="O44" s="193"/>
      <c r="P44" s="151"/>
      <c r="Q44" s="151"/>
      <c r="R44" s="194" t="s">
        <v>184</v>
      </c>
      <c r="S44" s="194" t="s">
        <v>7220</v>
      </c>
      <c r="T44" s="193"/>
      <c r="U44" s="193"/>
      <c r="V44" s="193"/>
      <c r="W44" s="193"/>
      <c r="X44" s="193"/>
      <c r="Y44" s="193"/>
      <c r="Z44" s="193"/>
    </row>
    <row r="45">
      <c r="A45" s="189"/>
      <c r="B45" s="189" t="s">
        <v>20</v>
      </c>
      <c r="C45" s="203" t="s">
        <v>186</v>
      </c>
      <c r="D45" s="154"/>
      <c r="E45" s="151" t="s">
        <v>187</v>
      </c>
      <c r="F45" s="123">
        <f t="shared" si="1"/>
        <v>1</v>
      </c>
      <c r="G45" s="121" t="s">
        <v>188</v>
      </c>
      <c r="H45" s="49"/>
      <c r="I45" s="192"/>
      <c r="J45" s="192"/>
      <c r="K45" s="192"/>
      <c r="L45" s="121"/>
      <c r="M45" s="193"/>
      <c r="N45" s="211"/>
      <c r="O45" s="193"/>
      <c r="P45" s="151"/>
      <c r="Q45" s="151"/>
      <c r="R45" s="193"/>
      <c r="S45" s="194" t="s">
        <v>188</v>
      </c>
      <c r="T45" s="193"/>
      <c r="U45" s="193"/>
      <c r="V45" s="193"/>
      <c r="W45" s="193"/>
      <c r="X45" s="193"/>
      <c r="Y45" s="193"/>
      <c r="Z45" s="193"/>
    </row>
    <row r="46">
      <c r="A46" s="189"/>
      <c r="B46" s="189" t="s">
        <v>20</v>
      </c>
      <c r="C46" s="203" t="s">
        <v>189</v>
      </c>
      <c r="D46" s="154"/>
      <c r="E46" s="151" t="s">
        <v>190</v>
      </c>
      <c r="F46" s="123">
        <f t="shared" si="1"/>
        <v>1</v>
      </c>
      <c r="G46" s="121" t="s">
        <v>191</v>
      </c>
      <c r="H46" s="49"/>
      <c r="I46" s="192"/>
      <c r="J46" s="192"/>
      <c r="K46" s="192"/>
      <c r="L46" s="121"/>
      <c r="M46" s="193"/>
      <c r="N46" s="211"/>
      <c r="O46" s="193"/>
      <c r="P46" s="151"/>
      <c r="Q46" s="151"/>
      <c r="R46" s="193"/>
      <c r="S46" s="194" t="s">
        <v>191</v>
      </c>
      <c r="T46" s="193"/>
      <c r="U46" s="193"/>
      <c r="V46" s="193"/>
      <c r="W46" s="193"/>
      <c r="X46" s="193"/>
      <c r="Y46" s="193"/>
      <c r="Z46" s="193"/>
    </row>
    <row r="47">
      <c r="A47" s="189"/>
      <c r="B47" s="189" t="s">
        <v>20</v>
      </c>
      <c r="C47" s="203" t="s">
        <v>192</v>
      </c>
      <c r="D47" s="154"/>
      <c r="E47" s="151" t="s">
        <v>193</v>
      </c>
      <c r="F47" s="123">
        <f t="shared" si="1"/>
        <v>1</v>
      </c>
      <c r="G47" s="121" t="s">
        <v>194</v>
      </c>
      <c r="H47" s="49"/>
      <c r="I47" s="192"/>
      <c r="J47" s="192"/>
      <c r="K47" s="192"/>
      <c r="L47" s="121"/>
      <c r="M47" s="193"/>
      <c r="N47" s="211"/>
      <c r="O47" s="193"/>
      <c r="P47" s="151"/>
      <c r="Q47" s="151"/>
      <c r="R47" s="193"/>
      <c r="S47" s="194" t="s">
        <v>194</v>
      </c>
      <c r="T47" s="193"/>
      <c r="U47" s="193"/>
      <c r="V47" s="193"/>
      <c r="W47" s="193"/>
      <c r="X47" s="193"/>
      <c r="Y47" s="193"/>
      <c r="Z47" s="193"/>
    </row>
    <row r="48">
      <c r="A48" s="189"/>
      <c r="B48" s="189" t="s">
        <v>20</v>
      </c>
      <c r="C48" s="203" t="s">
        <v>195</v>
      </c>
      <c r="D48" s="154"/>
      <c r="E48" s="151" t="s">
        <v>196</v>
      </c>
      <c r="F48" s="123">
        <f t="shared" si="1"/>
        <v>1</v>
      </c>
      <c r="G48" s="121" t="s">
        <v>197</v>
      </c>
      <c r="H48" s="49"/>
      <c r="I48" s="192"/>
      <c r="J48" s="192"/>
      <c r="K48" s="192"/>
      <c r="L48" s="121"/>
      <c r="M48" s="193"/>
      <c r="N48" s="211"/>
      <c r="O48" s="193"/>
      <c r="P48" s="151"/>
      <c r="Q48" s="151"/>
      <c r="R48" s="193"/>
      <c r="S48" s="194" t="s">
        <v>197</v>
      </c>
      <c r="T48" s="193"/>
      <c r="U48" s="193"/>
      <c r="V48" s="193"/>
      <c r="W48" s="193"/>
      <c r="X48" s="193"/>
      <c r="Y48" s="193"/>
      <c r="Z48" s="193"/>
    </row>
    <row r="49">
      <c r="A49" s="189"/>
      <c r="B49" s="189" t="s">
        <v>20</v>
      </c>
      <c r="C49" s="203" t="s">
        <v>198</v>
      </c>
      <c r="D49" s="154"/>
      <c r="E49" s="151" t="s">
        <v>199</v>
      </c>
      <c r="F49" s="123">
        <f t="shared" si="1"/>
        <v>1</v>
      </c>
      <c r="G49" s="121" t="s">
        <v>200</v>
      </c>
      <c r="H49" s="49"/>
      <c r="I49" s="192"/>
      <c r="J49" s="192"/>
      <c r="K49" s="192"/>
      <c r="L49" s="121"/>
      <c r="M49" s="193"/>
      <c r="N49" s="211"/>
      <c r="O49" s="193"/>
      <c r="P49" s="151"/>
      <c r="Q49" s="151"/>
      <c r="R49" s="193"/>
      <c r="S49" s="194" t="s">
        <v>200</v>
      </c>
      <c r="T49" s="193"/>
      <c r="U49" s="193"/>
      <c r="V49" s="193"/>
      <c r="W49" s="193"/>
      <c r="X49" s="193"/>
      <c r="Y49" s="193"/>
      <c r="Z49" s="193"/>
    </row>
    <row r="50">
      <c r="A50" s="189"/>
      <c r="B50" s="189" t="s">
        <v>20</v>
      </c>
      <c r="C50" s="203" t="s">
        <v>201</v>
      </c>
      <c r="D50" s="154"/>
      <c r="E50" s="151" t="s">
        <v>202</v>
      </c>
      <c r="F50" s="123">
        <f t="shared" si="1"/>
        <v>1</v>
      </c>
      <c r="G50" s="121" t="s">
        <v>203</v>
      </c>
      <c r="H50" s="49"/>
      <c r="I50" s="192"/>
      <c r="J50" s="192"/>
      <c r="K50" s="192"/>
      <c r="L50" s="121"/>
      <c r="M50" s="193"/>
      <c r="N50" s="211"/>
      <c r="O50" s="193"/>
      <c r="P50" s="151"/>
      <c r="Q50" s="151"/>
      <c r="R50" s="193"/>
      <c r="S50" s="194" t="s">
        <v>203</v>
      </c>
      <c r="T50" s="193"/>
      <c r="U50" s="193"/>
      <c r="V50" s="193"/>
      <c r="W50" s="193"/>
      <c r="X50" s="193"/>
      <c r="Y50" s="193"/>
      <c r="Z50" s="193"/>
    </row>
    <row r="51">
      <c r="A51" s="189"/>
      <c r="B51" s="189" t="s">
        <v>20</v>
      </c>
      <c r="C51" s="203" t="s">
        <v>204</v>
      </c>
      <c r="D51" s="154"/>
      <c r="E51" s="151" t="s">
        <v>205</v>
      </c>
      <c r="F51" s="123">
        <f t="shared" si="1"/>
        <v>1</v>
      </c>
      <c r="G51" s="121" t="s">
        <v>206</v>
      </c>
      <c r="H51" s="49"/>
      <c r="I51" s="192"/>
      <c r="J51" s="192"/>
      <c r="K51" s="192"/>
      <c r="L51" s="121"/>
      <c r="M51" s="193"/>
      <c r="N51" s="211"/>
      <c r="O51" s="193"/>
      <c r="P51" s="151"/>
      <c r="Q51" s="151"/>
      <c r="R51" s="193"/>
      <c r="S51" s="194" t="s">
        <v>206</v>
      </c>
      <c r="T51" s="193"/>
      <c r="U51" s="193"/>
      <c r="V51" s="193"/>
      <c r="W51" s="193"/>
      <c r="X51" s="193"/>
      <c r="Y51" s="193"/>
      <c r="Z51" s="193"/>
    </row>
    <row r="52">
      <c r="A52" s="189"/>
      <c r="B52" s="189" t="s">
        <v>20</v>
      </c>
      <c r="C52" s="203" t="s">
        <v>207</v>
      </c>
      <c r="D52" s="154"/>
      <c r="E52" s="151" t="s">
        <v>208</v>
      </c>
      <c r="F52" s="123">
        <f t="shared" si="1"/>
        <v>1</v>
      </c>
      <c r="G52" s="121" t="s">
        <v>209</v>
      </c>
      <c r="H52" s="49"/>
      <c r="I52" s="192"/>
      <c r="J52" s="192"/>
      <c r="K52" s="192"/>
      <c r="L52" s="121"/>
      <c r="M52" s="193"/>
      <c r="N52" s="211"/>
      <c r="O52" s="193"/>
      <c r="P52" s="151"/>
      <c r="Q52" s="151"/>
      <c r="R52" s="193"/>
      <c r="S52" s="194" t="s">
        <v>209</v>
      </c>
      <c r="T52" s="193"/>
      <c r="U52" s="193"/>
      <c r="V52" s="193"/>
      <c r="W52" s="193"/>
      <c r="X52" s="193"/>
      <c r="Y52" s="193"/>
      <c r="Z52" s="193"/>
    </row>
    <row r="53">
      <c r="A53" s="189"/>
      <c r="B53" s="189" t="s">
        <v>20</v>
      </c>
      <c r="C53" s="203" t="s">
        <v>210</v>
      </c>
      <c r="D53" s="154"/>
      <c r="E53" s="151" t="s">
        <v>211</v>
      </c>
      <c r="F53" s="123">
        <f t="shared" si="1"/>
        <v>1</v>
      </c>
      <c r="G53" s="121" t="s">
        <v>212</v>
      </c>
      <c r="H53" s="49"/>
      <c r="I53" s="192"/>
      <c r="J53" s="192"/>
      <c r="K53" s="192"/>
      <c r="L53" s="121"/>
      <c r="M53" s="193"/>
      <c r="N53" s="211"/>
      <c r="O53" s="193"/>
      <c r="P53" s="151"/>
      <c r="Q53" s="151"/>
      <c r="R53" s="193"/>
      <c r="S53" s="194" t="s">
        <v>212</v>
      </c>
      <c r="T53" s="193"/>
      <c r="U53" s="193"/>
      <c r="V53" s="193"/>
      <c r="W53" s="193"/>
      <c r="X53" s="193"/>
      <c r="Y53" s="193"/>
      <c r="Z53" s="193"/>
    </row>
    <row r="54">
      <c r="A54" s="189"/>
      <c r="B54" s="189"/>
      <c r="C54" s="203"/>
      <c r="D54" s="154"/>
      <c r="E54" s="151"/>
      <c r="F54" s="123">
        <f t="shared" si="1"/>
        <v>0</v>
      </c>
      <c r="G54" s="121"/>
      <c r="H54" s="49"/>
      <c r="I54" s="192"/>
      <c r="J54" s="192"/>
      <c r="K54" s="192"/>
      <c r="L54" s="121"/>
      <c r="M54" s="193"/>
      <c r="N54" s="211"/>
      <c r="O54" s="193"/>
      <c r="P54" s="151"/>
      <c r="Q54" s="151"/>
      <c r="R54" s="193"/>
      <c r="S54" s="193"/>
      <c r="T54" s="193"/>
      <c r="U54" s="193"/>
      <c r="V54" s="193"/>
      <c r="W54" s="193"/>
      <c r="X54" s="193"/>
      <c r="Y54" s="193"/>
      <c r="Z54" s="193"/>
    </row>
    <row r="55">
      <c r="A55" s="33"/>
      <c r="B55" s="33"/>
      <c r="C55" s="12"/>
      <c r="D55" s="12"/>
      <c r="E55" s="15"/>
      <c r="F55" s="123">
        <f t="shared" si="1"/>
        <v>0</v>
      </c>
      <c r="G55" s="12"/>
      <c r="H55" s="12"/>
      <c r="I55" s="12"/>
      <c r="J55" s="12"/>
      <c r="K55" s="12"/>
      <c r="L55" s="12"/>
      <c r="N55" s="15"/>
      <c r="P55" s="15"/>
      <c r="Q55" s="15"/>
      <c r="R55" s="88"/>
      <c r="S55" s="15"/>
    </row>
    <row r="56">
      <c r="A56" s="189" t="s">
        <v>10</v>
      </c>
      <c r="B56" s="212" t="s">
        <v>213</v>
      </c>
      <c r="C56" s="213" t="s">
        <v>214</v>
      </c>
      <c r="D56" s="213" t="s">
        <v>31</v>
      </c>
      <c r="E56" s="214" t="s">
        <v>215</v>
      </c>
      <c r="F56" s="123">
        <f t="shared" si="1"/>
        <v>5</v>
      </c>
      <c r="G56" s="121" t="s">
        <v>7221</v>
      </c>
      <c r="H56" s="12"/>
      <c r="I56" s="192" t="str">
        <f>IFERROR(__xludf.DUMMYFUNCTION("regexreplace(lower(C56), ""_"", """")"),"motherageyear")</f>
        <v>motherageyear</v>
      </c>
      <c r="J56" s="192" t="b">
        <f t="shared" ref="J56:J67" si="6">exact(I56, K56)</f>
        <v>0</v>
      </c>
      <c r="K56" s="192" t="str">
        <f>IFERROR(__xludf.DUMMYFUNCTION("regexreplace(G56, ""_"", """")"),"motherageyr")</f>
        <v>motherageyr</v>
      </c>
      <c r="L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""$1$2"")"),"mother_age_year")</f>
        <v>mother_age_year</v>
      </c>
      <c r="M56" s="61" t="s">
        <v>7222</v>
      </c>
      <c r="N56" s="215" t="s">
        <v>7223</v>
      </c>
      <c r="O56" s="215" t="s">
        <v>7224</v>
      </c>
      <c r="P56" s="214" t="s">
        <v>217</v>
      </c>
      <c r="Q56" s="214" t="s">
        <v>218</v>
      </c>
      <c r="R56" s="214" t="s">
        <v>7225</v>
      </c>
      <c r="S56" s="214" t="s">
        <v>7225</v>
      </c>
      <c r="T56" s="216"/>
      <c r="U56" s="216"/>
      <c r="V56" s="216"/>
      <c r="W56" s="216"/>
      <c r="X56" s="216"/>
      <c r="Y56" s="216"/>
      <c r="Z56" s="216"/>
    </row>
    <row r="57">
      <c r="A57" s="212"/>
      <c r="B57" s="212" t="s">
        <v>213</v>
      </c>
      <c r="C57" s="213" t="s">
        <v>219</v>
      </c>
      <c r="D57" s="213" t="s">
        <v>220</v>
      </c>
      <c r="E57" s="217" t="s">
        <v>221</v>
      </c>
      <c r="F57" s="123">
        <f t="shared" si="1"/>
        <v>5</v>
      </c>
      <c r="G57" s="121" t="s">
        <v>222</v>
      </c>
      <c r="H57" s="12"/>
      <c r="I57" s="192" t="str">
        <f>IFERROR(__xludf.DUMMYFUNCTION("regexreplace(lower(C57), ""_"", """")"),"motherrace")</f>
        <v>motherrace</v>
      </c>
      <c r="J57" s="192" t="b">
        <f t="shared" si="6"/>
        <v>1</v>
      </c>
      <c r="K57" s="192" t="str">
        <f>IFERROR(__xludf.DUMMYFUNCTION("regexreplace(G57, ""_"", """")"),"motherrace")</f>
        <v>motherrace</v>
      </c>
      <c r="L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""$1$2"")"),"mother_race")</f>
        <v>mother_race</v>
      </c>
      <c r="M57" s="216"/>
      <c r="N57" s="215" t="s">
        <v>7226</v>
      </c>
      <c r="O57" s="215" t="s">
        <v>7227</v>
      </c>
      <c r="P57" s="218" t="s">
        <v>223</v>
      </c>
      <c r="Q57" s="218" t="s">
        <v>224</v>
      </c>
      <c r="R57" s="214" t="s">
        <v>220</v>
      </c>
      <c r="S57" s="214" t="s">
        <v>220</v>
      </c>
      <c r="T57" s="216"/>
      <c r="U57" s="216"/>
      <c r="V57" s="216"/>
      <c r="W57" s="216"/>
      <c r="X57" s="216"/>
      <c r="Y57" s="216"/>
      <c r="Z57" s="216"/>
    </row>
    <row r="58">
      <c r="A58" s="212"/>
      <c r="B58" s="212" t="s">
        <v>213</v>
      </c>
      <c r="C58" s="213" t="s">
        <v>225</v>
      </c>
      <c r="D58" s="213" t="s">
        <v>220</v>
      </c>
      <c r="E58" s="217" t="s">
        <v>226</v>
      </c>
      <c r="F58" s="123">
        <f t="shared" si="1"/>
        <v>3</v>
      </c>
      <c r="G58" s="121" t="s">
        <v>227</v>
      </c>
      <c r="H58" s="12"/>
      <c r="I58" s="192" t="str">
        <f>IFERROR(__xludf.DUMMYFUNCTION("regexreplace(lower(C58), ""_"", """")"),"motherraceother1")</f>
        <v>motherraceother1</v>
      </c>
      <c r="J58" s="192" t="b">
        <f t="shared" si="6"/>
        <v>1</v>
      </c>
      <c r="K58" s="192" t="str">
        <f>IFERROR(__xludf.DUMMYFUNCTION("regexreplace(G58, ""_"", """")"),"motherraceother1")</f>
        <v>motherraceother1</v>
      </c>
      <c r="L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""$1$2"")"),"mother_race_other1")</f>
        <v>mother_race_other1</v>
      </c>
      <c r="M58" s="216"/>
      <c r="N58" s="215" t="s">
        <v>7226</v>
      </c>
      <c r="O58" s="216"/>
      <c r="P58" s="218" t="s">
        <v>228</v>
      </c>
      <c r="Q58" s="218" t="s">
        <v>229</v>
      </c>
      <c r="R58" s="219"/>
      <c r="S58" s="214" t="s">
        <v>7228</v>
      </c>
      <c r="T58" s="216"/>
      <c r="U58" s="216"/>
      <c r="V58" s="216"/>
      <c r="W58" s="216"/>
      <c r="X58" s="216"/>
      <c r="Y58" s="216"/>
      <c r="Z58" s="216"/>
    </row>
    <row r="59">
      <c r="A59" s="212"/>
      <c r="B59" s="212" t="s">
        <v>213</v>
      </c>
      <c r="C59" s="213" t="s">
        <v>230</v>
      </c>
      <c r="D59" s="213" t="s">
        <v>220</v>
      </c>
      <c r="E59" s="217" t="s">
        <v>231</v>
      </c>
      <c r="F59" s="123">
        <f t="shared" si="1"/>
        <v>2</v>
      </c>
      <c r="G59" s="121" t="s">
        <v>232</v>
      </c>
      <c r="H59" s="12"/>
      <c r="I59" s="192" t="str">
        <f>IFERROR(__xludf.DUMMYFUNCTION("regexreplace(lower(C59), ""_"", """")"),"motherraceother2")</f>
        <v>motherraceother2</v>
      </c>
      <c r="J59" s="192" t="b">
        <f t="shared" si="6"/>
        <v>1</v>
      </c>
      <c r="K59" s="192" t="str">
        <f>IFERROR(__xludf.DUMMYFUNCTION("regexreplace(G59, ""_"", """")"),"motherraceother2")</f>
        <v>motherraceother2</v>
      </c>
      <c r="L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""$1$2"")"),"mother_race_other2")</f>
        <v>mother_race_other2</v>
      </c>
      <c r="M59" s="216"/>
      <c r="N59" s="215" t="s">
        <v>7226</v>
      </c>
      <c r="O59" s="216"/>
      <c r="P59" s="218" t="s">
        <v>233</v>
      </c>
      <c r="Q59" s="218" t="s">
        <v>234</v>
      </c>
      <c r="R59" s="219"/>
      <c r="S59" s="219"/>
      <c r="T59" s="216"/>
      <c r="U59" s="216"/>
      <c r="V59" s="216"/>
      <c r="W59" s="216"/>
      <c r="X59" s="216"/>
      <c r="Y59" s="216"/>
      <c r="Z59" s="216"/>
    </row>
    <row r="60">
      <c r="A60" s="212"/>
      <c r="B60" s="212" t="s">
        <v>213</v>
      </c>
      <c r="C60" s="213" t="s">
        <v>235</v>
      </c>
      <c r="D60" s="213" t="s">
        <v>220</v>
      </c>
      <c r="E60" s="217" t="s">
        <v>236</v>
      </c>
      <c r="F60" s="123">
        <f t="shared" si="1"/>
        <v>2</v>
      </c>
      <c r="G60" s="121" t="s">
        <v>237</v>
      </c>
      <c r="H60" s="12"/>
      <c r="I60" s="192" t="str">
        <f>IFERROR(__xludf.DUMMYFUNCTION("regexreplace(lower(C60), ""_"", """")"),"motherraceother3")</f>
        <v>motherraceother3</v>
      </c>
      <c r="J60" s="192" t="b">
        <f t="shared" si="6"/>
        <v>1</v>
      </c>
      <c r="K60" s="192" t="str">
        <f>IFERROR(__xludf.DUMMYFUNCTION("regexreplace(G60, ""_"", """")"),"motherraceother3")</f>
        <v>motherraceother3</v>
      </c>
      <c r="L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""$1$2"")"),"mother_race_other3")</f>
        <v>mother_race_other3</v>
      </c>
      <c r="M60" s="216"/>
      <c r="N60" s="215" t="s">
        <v>7226</v>
      </c>
      <c r="O60" s="216"/>
      <c r="P60" s="218" t="s">
        <v>238</v>
      </c>
      <c r="Q60" s="218" t="s">
        <v>239</v>
      </c>
      <c r="R60" s="219"/>
      <c r="S60" s="219"/>
      <c r="T60" s="216"/>
      <c r="U60" s="216"/>
      <c r="V60" s="216"/>
      <c r="W60" s="216"/>
      <c r="X60" s="216"/>
      <c r="Y60" s="216"/>
      <c r="Z60" s="216"/>
    </row>
    <row r="61">
      <c r="A61" s="212"/>
      <c r="B61" s="212" t="s">
        <v>213</v>
      </c>
      <c r="C61" s="213" t="s">
        <v>240</v>
      </c>
      <c r="D61" s="213" t="s">
        <v>220</v>
      </c>
      <c r="E61" s="217" t="s">
        <v>241</v>
      </c>
      <c r="F61" s="123">
        <f t="shared" si="1"/>
        <v>2</v>
      </c>
      <c r="G61" s="121" t="s">
        <v>242</v>
      </c>
      <c r="H61" s="12"/>
      <c r="I61" s="192" t="str">
        <f>IFERROR(__xludf.DUMMYFUNCTION("regexreplace(lower(C61), ""_"", """")"),"motherraceother4")</f>
        <v>motherraceother4</v>
      </c>
      <c r="J61" s="192" t="b">
        <f t="shared" si="6"/>
        <v>1</v>
      </c>
      <c r="K61" s="192" t="str">
        <f>IFERROR(__xludf.DUMMYFUNCTION("regexreplace(G61, ""_"", """")"),"motherraceother4")</f>
        <v>motherraceother4</v>
      </c>
      <c r="L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""$1$2"")"),"mother_race_other4")</f>
        <v>mother_race_other4</v>
      </c>
      <c r="M61" s="216"/>
      <c r="N61" s="215" t="s">
        <v>7226</v>
      </c>
      <c r="O61" s="216"/>
      <c r="P61" s="218" t="s">
        <v>243</v>
      </c>
      <c r="Q61" s="218" t="s">
        <v>244</v>
      </c>
      <c r="R61" s="219"/>
      <c r="S61" s="219"/>
      <c r="T61" s="216"/>
      <c r="U61" s="216"/>
      <c r="V61" s="216"/>
      <c r="W61" s="216"/>
      <c r="X61" s="216"/>
      <c r="Y61" s="216"/>
      <c r="Z61" s="216"/>
    </row>
    <row r="62">
      <c r="A62" s="212"/>
      <c r="B62" s="212" t="s">
        <v>213</v>
      </c>
      <c r="C62" s="213" t="s">
        <v>245</v>
      </c>
      <c r="D62" s="213" t="s">
        <v>220</v>
      </c>
      <c r="E62" s="217" t="s">
        <v>246</v>
      </c>
      <c r="F62" s="123">
        <f t="shared" si="1"/>
        <v>1</v>
      </c>
      <c r="G62" s="121" t="s">
        <v>247</v>
      </c>
      <c r="H62" s="12"/>
      <c r="I62" s="192" t="str">
        <f>IFERROR(__xludf.DUMMYFUNCTION("regexreplace(lower(C62), ""_"", """")"),"motherraceother5")</f>
        <v>motherraceother5</v>
      </c>
      <c r="J62" s="192" t="b">
        <f t="shared" si="6"/>
        <v>1</v>
      </c>
      <c r="K62" s="192" t="str">
        <f>IFERROR(__xludf.DUMMYFUNCTION("regexreplace(G62, ""_"", """")"),"motherraceother5")</f>
        <v>motherraceother5</v>
      </c>
      <c r="L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""$1$2"")"),"mother_race_other5")</f>
        <v>mother_race_other5</v>
      </c>
      <c r="M62" s="216"/>
      <c r="N62" s="215" t="s">
        <v>7226</v>
      </c>
      <c r="O62" s="216"/>
      <c r="P62" s="220"/>
      <c r="Q62" s="214" t="s">
        <v>248</v>
      </c>
      <c r="R62" s="219"/>
      <c r="S62" s="219"/>
      <c r="T62" s="216"/>
      <c r="U62" s="216"/>
      <c r="V62" s="216"/>
      <c r="W62" s="216"/>
      <c r="X62" s="216"/>
      <c r="Y62" s="216"/>
      <c r="Z62" s="216"/>
    </row>
    <row r="63">
      <c r="A63" s="212"/>
      <c r="B63" s="212" t="s">
        <v>213</v>
      </c>
      <c r="C63" s="213" t="s">
        <v>249</v>
      </c>
      <c r="D63" s="213" t="s">
        <v>220</v>
      </c>
      <c r="E63" s="217" t="s">
        <v>250</v>
      </c>
      <c r="F63" s="123">
        <f t="shared" si="1"/>
        <v>1</v>
      </c>
      <c r="G63" s="121" t="s">
        <v>251</v>
      </c>
      <c r="H63" s="12"/>
      <c r="I63" s="192" t="str">
        <f>IFERROR(__xludf.DUMMYFUNCTION("regexreplace(lower(C63), ""_"", """")"),"motherraceother6")</f>
        <v>motherraceother6</v>
      </c>
      <c r="J63" s="192" t="b">
        <f t="shared" si="6"/>
        <v>1</v>
      </c>
      <c r="K63" s="192" t="str">
        <f>IFERROR(__xludf.DUMMYFUNCTION("regexreplace(G63, ""_"", """")"),"motherraceother6")</f>
        <v>motherraceother6</v>
      </c>
      <c r="L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""$1$2"")"),"mother_race_other6")</f>
        <v>mother_race_other6</v>
      </c>
      <c r="M63" s="216"/>
      <c r="N63" s="215" t="s">
        <v>7226</v>
      </c>
      <c r="O63" s="216"/>
      <c r="P63" s="220"/>
      <c r="Q63" s="214" t="s">
        <v>252</v>
      </c>
      <c r="R63" s="219"/>
      <c r="S63" s="219"/>
      <c r="T63" s="216"/>
      <c r="U63" s="216"/>
      <c r="V63" s="216"/>
      <c r="W63" s="216"/>
      <c r="X63" s="216"/>
      <c r="Y63" s="216"/>
      <c r="Z63" s="216"/>
    </row>
    <row r="64">
      <c r="A64" s="212"/>
      <c r="B64" s="212" t="s">
        <v>213</v>
      </c>
      <c r="C64" s="213" t="s">
        <v>253</v>
      </c>
      <c r="D64" s="213" t="s">
        <v>254</v>
      </c>
      <c r="E64" s="214" t="s">
        <v>255</v>
      </c>
      <c r="F64" s="123">
        <f t="shared" si="1"/>
        <v>4</v>
      </c>
      <c r="G64" s="121" t="s">
        <v>256</v>
      </c>
      <c r="H64" s="12"/>
      <c r="I64" s="192" t="str">
        <f>IFERROR(__xludf.DUMMYFUNCTION("regexreplace(lower(C64), ""_"", """")"),"motherethnicity")</f>
        <v>motherethnicity</v>
      </c>
      <c r="J64" s="192" t="b">
        <f t="shared" si="6"/>
        <v>1</v>
      </c>
      <c r="K64" s="192" t="str">
        <f>IFERROR(__xludf.DUMMYFUNCTION("regexreplace(G64, ""_"", """")"),"motherethnicity")</f>
        <v>motherethnicity</v>
      </c>
      <c r="L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""$1$2"")"),"mother_ethnicity")</f>
        <v>mother_ethnicity</v>
      </c>
      <c r="M64" s="216"/>
      <c r="N64" s="215" t="s">
        <v>7229</v>
      </c>
      <c r="O64" s="215" t="s">
        <v>7230</v>
      </c>
      <c r="P64" s="218" t="s">
        <v>257</v>
      </c>
      <c r="Q64" s="218" t="s">
        <v>258</v>
      </c>
      <c r="R64" s="219"/>
      <c r="S64" s="214" t="s">
        <v>254</v>
      </c>
      <c r="T64" s="216"/>
      <c r="U64" s="216"/>
      <c r="V64" s="216"/>
      <c r="W64" s="216"/>
      <c r="X64" s="216"/>
      <c r="Y64" s="216"/>
      <c r="Z64" s="216"/>
    </row>
    <row r="65">
      <c r="A65" s="212"/>
      <c r="B65" s="212" t="s">
        <v>213</v>
      </c>
      <c r="C65" s="213" t="s">
        <v>259</v>
      </c>
      <c r="D65" s="213" t="s">
        <v>260</v>
      </c>
      <c r="E65" s="214" t="s">
        <v>261</v>
      </c>
      <c r="F65" s="123">
        <f t="shared" si="1"/>
        <v>2</v>
      </c>
      <c r="G65" s="121" t="s">
        <v>262</v>
      </c>
      <c r="H65" s="12"/>
      <c r="I65" s="192" t="str">
        <f>IFERROR(__xludf.DUMMYFUNCTION("regexreplace(lower(C65), ""_"", """")"),"mothermaritalstatus")</f>
        <v>mothermaritalstatus</v>
      </c>
      <c r="J65" s="192" t="b">
        <f t="shared" si="6"/>
        <v>1</v>
      </c>
      <c r="K65" s="192" t="str">
        <f>IFERROR(__xludf.DUMMYFUNCTION("regexreplace(G65, ""_"", """")"),"mothermaritalstatus")</f>
        <v>mothermaritalstatus</v>
      </c>
      <c r="L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""$1$2"")"),"mother_marital_status")</f>
        <v>mother_marital_status</v>
      </c>
      <c r="M65" s="61" t="s">
        <v>7231</v>
      </c>
      <c r="N65" s="214"/>
      <c r="O65" s="216"/>
      <c r="P65" s="214" t="s">
        <v>263</v>
      </c>
      <c r="Q65" s="214" t="s">
        <v>264</v>
      </c>
      <c r="R65" s="219"/>
      <c r="S65" s="219"/>
      <c r="T65" s="216"/>
      <c r="U65" s="216"/>
      <c r="V65" s="216"/>
      <c r="W65" s="216"/>
      <c r="X65" s="216"/>
      <c r="Y65" s="216"/>
      <c r="Z65" s="216"/>
    </row>
    <row r="66">
      <c r="A66" s="212"/>
      <c r="B66" s="212" t="s">
        <v>213</v>
      </c>
      <c r="C66" s="213" t="s">
        <v>265</v>
      </c>
      <c r="D66" s="213" t="s">
        <v>266</v>
      </c>
      <c r="E66" s="214" t="s">
        <v>267</v>
      </c>
      <c r="F66" s="123">
        <f t="shared" si="1"/>
        <v>3</v>
      </c>
      <c r="G66" s="121" t="s">
        <v>268</v>
      </c>
      <c r="H66" s="12"/>
      <c r="I66" s="192" t="str">
        <f>IFERROR(__xludf.DUMMYFUNCTION("regexreplace(lower(C66), ""_"", """")"),"mothereducation")</f>
        <v>mothereducation</v>
      </c>
      <c r="J66" s="192" t="b">
        <f t="shared" si="6"/>
        <v>1</v>
      </c>
      <c r="K66" s="192" t="str">
        <f>IFERROR(__xludf.DUMMYFUNCTION("regexreplace(G66, ""_"", """")"),"mothereducation")</f>
        <v>mothereducation</v>
      </c>
      <c r="L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""$1$2"")"),"mother_education")</f>
        <v>mother_education</v>
      </c>
      <c r="M66" s="216"/>
      <c r="N66" s="216"/>
      <c r="O66" s="215" t="s">
        <v>7232</v>
      </c>
      <c r="P66" s="214" t="s">
        <v>269</v>
      </c>
      <c r="Q66" s="214" t="s">
        <v>270</v>
      </c>
      <c r="R66" s="219"/>
      <c r="S66" s="219"/>
      <c r="T66" s="216"/>
      <c r="U66" s="216"/>
      <c r="V66" s="216"/>
      <c r="W66" s="216"/>
      <c r="X66" s="216"/>
      <c r="Y66" s="216"/>
      <c r="Z66" s="216"/>
    </row>
    <row r="67">
      <c r="A67" s="212"/>
      <c r="B67" s="212" t="s">
        <v>213</v>
      </c>
      <c r="C67" s="213" t="s">
        <v>271</v>
      </c>
      <c r="D67" s="213" t="s">
        <v>272</v>
      </c>
      <c r="E67" s="214" t="s">
        <v>273</v>
      </c>
      <c r="F67" s="123">
        <f t="shared" si="1"/>
        <v>1</v>
      </c>
      <c r="G67" s="121" t="s">
        <v>274</v>
      </c>
      <c r="H67" s="12"/>
      <c r="I67" s="192" t="str">
        <f>IFERROR(__xludf.DUMMYFUNCTION("regexreplace(lower(C67), ""_"", """")"),"motherinsurance")</f>
        <v>motherinsurance</v>
      </c>
      <c r="J67" s="192" t="b">
        <f t="shared" si="6"/>
        <v>1</v>
      </c>
      <c r="K67" s="192" t="str">
        <f>IFERROR(__xludf.DUMMYFUNCTION("regexreplace(G67, ""_"", """")"),"motherinsurance")</f>
        <v>motherinsurance</v>
      </c>
      <c r="L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""$1$2"")"),"mother_insurance")</f>
        <v>mother_insurance</v>
      </c>
      <c r="M67" s="216"/>
      <c r="N67" s="220"/>
      <c r="O67" s="216"/>
      <c r="P67" s="220"/>
      <c r="Q67" s="214" t="s">
        <v>275</v>
      </c>
      <c r="R67" s="219"/>
      <c r="S67" s="219"/>
      <c r="T67" s="216"/>
      <c r="U67" s="216"/>
      <c r="V67" s="216"/>
      <c r="W67" s="216"/>
      <c r="X67" s="216"/>
      <c r="Y67" s="216"/>
      <c r="Z67" s="216"/>
    </row>
    <row r="68">
      <c r="A68" s="33"/>
      <c r="B68" s="212" t="s">
        <v>213</v>
      </c>
      <c r="C68" s="12" t="s">
        <v>7233</v>
      </c>
      <c r="D68" s="12"/>
      <c r="E68" s="15" t="s">
        <v>7234</v>
      </c>
      <c r="F68" s="123">
        <f t="shared" si="1"/>
        <v>1</v>
      </c>
      <c r="G68" s="12"/>
      <c r="H68" s="12" t="s">
        <v>7235</v>
      </c>
      <c r="I68" s="12"/>
      <c r="J68" s="12"/>
      <c r="K68" s="12"/>
      <c r="L68" s="12"/>
      <c r="N68" s="35"/>
      <c r="O68" s="61" t="s">
        <v>7236</v>
      </c>
      <c r="P68" s="35"/>
      <c r="Q68" s="35"/>
      <c r="R68" s="88"/>
      <c r="S68" s="15"/>
    </row>
    <row r="69">
      <c r="A69" s="33"/>
      <c r="B69" s="33"/>
      <c r="C69" s="12"/>
      <c r="D69" s="12"/>
      <c r="E69" s="15"/>
      <c r="F69" s="123">
        <f t="shared" si="1"/>
        <v>0</v>
      </c>
      <c r="G69" s="12"/>
      <c r="H69" s="12"/>
      <c r="I69" s="12"/>
      <c r="J69" s="12"/>
      <c r="K69" s="12"/>
      <c r="L69" s="12"/>
      <c r="N69" s="35"/>
      <c r="P69" s="35"/>
      <c r="Q69" s="35"/>
      <c r="R69" s="88"/>
      <c r="S69" s="15"/>
    </row>
    <row r="70">
      <c r="A70" s="33"/>
      <c r="B70" s="33" t="s">
        <v>7237</v>
      </c>
      <c r="C70" s="213" t="s">
        <v>7238</v>
      </c>
      <c r="D70" s="12"/>
      <c r="E70" s="15"/>
      <c r="F70" s="123">
        <f t="shared" si="1"/>
        <v>0</v>
      </c>
      <c r="G70" s="12"/>
      <c r="H70" s="12"/>
      <c r="I70" s="12"/>
      <c r="J70" s="12"/>
      <c r="K70" s="12"/>
      <c r="L70" s="12"/>
      <c r="M70" s="61" t="s">
        <v>7239</v>
      </c>
      <c r="N70" s="35"/>
      <c r="P70" s="35"/>
      <c r="Q70" s="35"/>
      <c r="R70" s="88"/>
      <c r="S70" s="15"/>
    </row>
    <row r="71">
      <c r="A71" s="33"/>
      <c r="B71" s="33"/>
      <c r="C71" s="12"/>
      <c r="D71" s="12"/>
      <c r="E71" s="15"/>
      <c r="F71" s="123">
        <f t="shared" si="1"/>
        <v>0</v>
      </c>
      <c r="G71" s="12"/>
      <c r="H71" s="12"/>
      <c r="I71" s="12"/>
      <c r="J71" s="12"/>
      <c r="K71" s="12"/>
      <c r="L71" s="12"/>
      <c r="N71" s="35"/>
      <c r="P71" s="35"/>
      <c r="Q71" s="35"/>
      <c r="R71" s="88"/>
      <c r="S71" s="15"/>
    </row>
    <row r="72">
      <c r="A72" s="189" t="s">
        <v>10</v>
      </c>
      <c r="B72" s="119" t="s">
        <v>276</v>
      </c>
      <c r="C72" s="121" t="s">
        <v>277</v>
      </c>
      <c r="D72" s="121" t="s">
        <v>31</v>
      </c>
      <c r="E72" s="221" t="s">
        <v>278</v>
      </c>
      <c r="F72" s="123">
        <f t="shared" si="1"/>
        <v>3</v>
      </c>
      <c r="G72" s="121" t="s">
        <v>277</v>
      </c>
      <c r="H72" s="12"/>
      <c r="I72" s="192" t="str">
        <f>IFERROR(__xludf.DUMMYFUNCTION("regexreplace(lower(C72), ""_"", """")"),"gravida")</f>
        <v>gravida</v>
      </c>
      <c r="J72" s="192" t="b">
        <f t="shared" ref="J72:J78" si="7">exact(I72, K72)</f>
        <v>1</v>
      </c>
      <c r="K72" s="192" t="str">
        <f>IFERROR(__xludf.DUMMYFUNCTION("regexreplace(G72, ""_"", """")"),"gravida")</f>
        <v>gravida</v>
      </c>
      <c r="L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""$1$2"")"),"gravida")</f>
        <v>gravida</v>
      </c>
      <c r="M72" s="125"/>
      <c r="N72" s="221" t="s">
        <v>7240</v>
      </c>
      <c r="O72" s="125"/>
      <c r="P72" s="222" t="s">
        <v>279</v>
      </c>
      <c r="Q72" s="222" t="s">
        <v>280</v>
      </c>
      <c r="R72" s="223"/>
      <c r="S72" s="221" t="s">
        <v>277</v>
      </c>
      <c r="T72" s="125"/>
      <c r="U72" s="125"/>
      <c r="V72" s="125"/>
      <c r="W72" s="125"/>
      <c r="X72" s="125"/>
      <c r="Y72" s="125"/>
      <c r="Z72" s="125"/>
    </row>
    <row r="73">
      <c r="A73" s="119"/>
      <c r="B73" s="119" t="s">
        <v>276</v>
      </c>
      <c r="C73" s="121" t="s">
        <v>281</v>
      </c>
      <c r="D73" s="121" t="s">
        <v>31</v>
      </c>
      <c r="E73" s="221" t="s">
        <v>282</v>
      </c>
      <c r="F73" s="123">
        <f t="shared" si="1"/>
        <v>4</v>
      </c>
      <c r="G73" s="121" t="s">
        <v>281</v>
      </c>
      <c r="H73" s="12"/>
      <c r="I73" s="192" t="str">
        <f>IFERROR(__xludf.DUMMYFUNCTION("regexreplace(lower(C73), ""_"", """")"),"parity")</f>
        <v>parity</v>
      </c>
      <c r="J73" s="192" t="b">
        <f t="shared" si="7"/>
        <v>1</v>
      </c>
      <c r="K73" s="192" t="str">
        <f>IFERROR(__xludf.DUMMYFUNCTION("regexreplace(G73, ""_"", """")"),"parity")</f>
        <v>parity</v>
      </c>
      <c r="L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""$1$2"")"),"parity")</f>
        <v>parity</v>
      </c>
      <c r="M73" s="125"/>
      <c r="N73" s="221" t="s">
        <v>7241</v>
      </c>
      <c r="O73" s="122" t="s">
        <v>7242</v>
      </c>
      <c r="P73" s="221" t="s">
        <v>283</v>
      </c>
      <c r="Q73" s="221" t="s">
        <v>284</v>
      </c>
      <c r="R73" s="223"/>
      <c r="S73" s="221" t="s">
        <v>7243</v>
      </c>
      <c r="T73" s="125"/>
      <c r="U73" s="125"/>
      <c r="V73" s="125"/>
      <c r="W73" s="125"/>
      <c r="X73" s="125"/>
      <c r="Y73" s="125"/>
      <c r="Z73" s="125"/>
    </row>
    <row r="74">
      <c r="A74" s="119"/>
      <c r="B74" s="119" t="s">
        <v>276</v>
      </c>
      <c r="C74" s="121" t="s">
        <v>285</v>
      </c>
      <c r="D74" s="121" t="s">
        <v>40</v>
      </c>
      <c r="E74" s="221" t="s">
        <v>286</v>
      </c>
      <c r="F74" s="123">
        <f t="shared" si="1"/>
        <v>4</v>
      </c>
      <c r="G74" s="121" t="s">
        <v>287</v>
      </c>
      <c r="H74" s="12"/>
      <c r="I74" s="192" t="str">
        <f>IFERROR(__xludf.DUMMYFUNCTION("regexreplace(lower(C74), ""_"", """")"),"multiplebirth")</f>
        <v>multiplebirth</v>
      </c>
      <c r="J74" s="192" t="b">
        <f t="shared" si="7"/>
        <v>1</v>
      </c>
      <c r="K74" s="192" t="str">
        <f>IFERROR(__xludf.DUMMYFUNCTION("regexreplace(G74, ""_"", """")"),"multiplebirth")</f>
        <v>multiplebirth</v>
      </c>
      <c r="L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""$1$2"")"),"multiple_birth")</f>
        <v>multiple_birth</v>
      </c>
      <c r="M74" s="125"/>
      <c r="N74" s="221"/>
      <c r="O74" s="122" t="s">
        <v>7244</v>
      </c>
      <c r="P74" s="222" t="s">
        <v>288</v>
      </c>
      <c r="Q74" s="222" t="s">
        <v>289</v>
      </c>
      <c r="R74" s="223"/>
      <c r="S74" s="221" t="s">
        <v>7245</v>
      </c>
      <c r="T74" s="125"/>
      <c r="U74" s="125"/>
      <c r="V74" s="125"/>
      <c r="W74" s="125"/>
      <c r="X74" s="125"/>
      <c r="Y74" s="125"/>
      <c r="Z74" s="125"/>
    </row>
    <row r="75">
      <c r="A75" s="119"/>
      <c r="B75" s="119" t="s">
        <v>276</v>
      </c>
      <c r="C75" s="121" t="s">
        <v>290</v>
      </c>
      <c r="D75" s="121" t="s">
        <v>31</v>
      </c>
      <c r="E75" s="221" t="s">
        <v>291</v>
      </c>
      <c r="F75" s="123">
        <f t="shared" si="1"/>
        <v>3</v>
      </c>
      <c r="G75" s="121" t="s">
        <v>292</v>
      </c>
      <c r="H75" s="12"/>
      <c r="I75" s="192" t="str">
        <f>IFERROR(__xludf.DUMMYFUNCTION("regexreplace(lower(C75), ""_"", """")"),"numfetus")</f>
        <v>numfetus</v>
      </c>
      <c r="J75" s="192" t="b">
        <f t="shared" si="7"/>
        <v>1</v>
      </c>
      <c r="K75" s="192" t="str">
        <f>IFERROR(__xludf.DUMMYFUNCTION("regexreplace(G75, ""_"", """")"),"numfetus")</f>
        <v>numfetus</v>
      </c>
      <c r="L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""$1$2"")"),"num_fetus")</f>
        <v>num_fetus</v>
      </c>
      <c r="M75" s="125"/>
      <c r="N75" s="221"/>
      <c r="O75" s="125"/>
      <c r="P75" s="222" t="s">
        <v>293</v>
      </c>
      <c r="Q75" s="222" t="s">
        <v>294</v>
      </c>
      <c r="R75" s="223"/>
      <c r="S75" s="221" t="s">
        <v>7246</v>
      </c>
      <c r="T75" s="125"/>
      <c r="U75" s="125"/>
      <c r="V75" s="125"/>
      <c r="W75" s="125"/>
      <c r="X75" s="125"/>
      <c r="Y75" s="125"/>
      <c r="Z75" s="125"/>
    </row>
    <row r="76">
      <c r="A76" s="119"/>
      <c r="B76" s="119" t="s">
        <v>276</v>
      </c>
      <c r="C76" s="121" t="s">
        <v>295</v>
      </c>
      <c r="D76" s="121" t="s">
        <v>40</v>
      </c>
      <c r="E76" s="221" t="s">
        <v>296</v>
      </c>
      <c r="F76" s="123">
        <f t="shared" si="1"/>
        <v>2</v>
      </c>
      <c r="G76" s="121" t="s">
        <v>297</v>
      </c>
      <c r="H76" s="12"/>
      <c r="I76" s="192" t="str">
        <f>IFERROR(__xludf.DUMMYFUNCTION("regexreplace(lower(C76), ""_"", """")"),"prenatalcare")</f>
        <v>prenatalcare</v>
      </c>
      <c r="J76" s="192" t="b">
        <f t="shared" si="7"/>
        <v>1</v>
      </c>
      <c r="K76" s="192" t="str">
        <f>IFERROR(__xludf.DUMMYFUNCTION("regexreplace(G76, ""_"", """")"),"prenatalcare")</f>
        <v>prenatalcare</v>
      </c>
      <c r="L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""$1$2"")"),"prenatal_care")</f>
        <v>prenatal_care</v>
      </c>
      <c r="M76" s="125"/>
      <c r="N76" s="221"/>
      <c r="O76" s="125"/>
      <c r="P76" s="222" t="s">
        <v>298</v>
      </c>
      <c r="Q76" s="222" t="s">
        <v>299</v>
      </c>
      <c r="R76" s="223"/>
      <c r="S76" s="223"/>
      <c r="T76" s="125"/>
      <c r="U76" s="125"/>
      <c r="V76" s="125"/>
      <c r="W76" s="125"/>
      <c r="X76" s="125"/>
      <c r="Y76" s="125"/>
      <c r="Z76" s="125"/>
    </row>
    <row r="77">
      <c r="A77" s="119"/>
      <c r="B77" s="119" t="s">
        <v>276</v>
      </c>
      <c r="C77" s="224" t="s">
        <v>7247</v>
      </c>
      <c r="D77" s="224" t="s">
        <v>16</v>
      </c>
      <c r="E77" s="225" t="s">
        <v>7248</v>
      </c>
      <c r="F77" s="123">
        <f t="shared" si="1"/>
        <v>1</v>
      </c>
      <c r="G77" s="121" t="s">
        <v>7249</v>
      </c>
      <c r="H77" s="226"/>
      <c r="I77" s="192" t="str">
        <f>IFERROR(__xludf.DUMMYFUNCTION("regexreplace(lower(C77), ""_"", """")"),"pregnancycomplication")</f>
        <v>pregnancycomplication</v>
      </c>
      <c r="J77" s="192" t="b">
        <f t="shared" si="7"/>
        <v>1</v>
      </c>
      <c r="K77" s="192" t="str">
        <f>IFERROR(__xludf.DUMMYFUNCTION("regexreplace(G77, ""_"", """")"),"pregnancycomplication")</f>
        <v>pregnancycomplication</v>
      </c>
      <c r="L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""$1$2"")"),"pregnancy_complication")</f>
        <v>pregnancy_complication</v>
      </c>
      <c r="M77" s="125"/>
      <c r="N77" s="221"/>
      <c r="O77" s="125"/>
      <c r="P77" s="222"/>
      <c r="Q77" s="222"/>
      <c r="R77" s="227"/>
      <c r="S77" s="228" t="s">
        <v>7250</v>
      </c>
      <c r="T77" s="125"/>
      <c r="U77" s="125"/>
      <c r="V77" s="125"/>
      <c r="W77" s="125"/>
      <c r="X77" s="125"/>
      <c r="Y77" s="125"/>
      <c r="Z77" s="125"/>
    </row>
    <row r="78">
      <c r="A78" s="119"/>
      <c r="B78" s="119" t="s">
        <v>276</v>
      </c>
      <c r="C78" s="229" t="s">
        <v>300</v>
      </c>
      <c r="D78" s="229" t="s">
        <v>40</v>
      </c>
      <c r="E78" s="221" t="s">
        <v>301</v>
      </c>
      <c r="F78" s="123">
        <f t="shared" si="1"/>
        <v>3</v>
      </c>
      <c r="G78" s="121" t="s">
        <v>302</v>
      </c>
      <c r="H78" s="39"/>
      <c r="I78" s="192" t="str">
        <f>IFERROR(__xludf.DUMMYFUNCTION("regexreplace(lower(C78), ""_"", """")"),"hypertensioneclampsia")</f>
        <v>hypertensioneclampsia</v>
      </c>
      <c r="J78" s="192" t="b">
        <f t="shared" si="7"/>
        <v>1</v>
      </c>
      <c r="K78" s="192" t="str">
        <f>IFERROR(__xludf.DUMMYFUNCTION("regexreplace(G78, ""_"", """")"),"hypertensioneclampsia")</f>
        <v>hypertensioneclampsia</v>
      </c>
      <c r="L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""$1$2"")"),"hypertension_eclampsia")</f>
        <v>hypertension_eclampsia</v>
      </c>
      <c r="M78" s="125"/>
      <c r="N78" s="222"/>
      <c r="O78" s="122" t="s">
        <v>7251</v>
      </c>
      <c r="P78" s="222" t="s">
        <v>303</v>
      </c>
      <c r="Q78" s="222" t="s">
        <v>304</v>
      </c>
      <c r="R78" s="223"/>
      <c r="S78" s="223"/>
      <c r="T78" s="125"/>
      <c r="U78" s="125"/>
      <c r="V78" s="125"/>
      <c r="W78" s="125"/>
      <c r="X78" s="125"/>
      <c r="Y78" s="125"/>
      <c r="Z78" s="125"/>
    </row>
    <row r="79">
      <c r="A79" s="119"/>
      <c r="B79" s="119" t="s">
        <v>276</v>
      </c>
      <c r="C79" s="224" t="s">
        <v>7252</v>
      </c>
      <c r="D79" s="224" t="s">
        <v>40</v>
      </c>
      <c r="E79" s="228" t="s">
        <v>7253</v>
      </c>
      <c r="F79" s="123">
        <f t="shared" si="1"/>
        <v>1</v>
      </c>
      <c r="G79" s="121"/>
      <c r="H79" s="226"/>
      <c r="I79" s="192"/>
      <c r="J79" s="192"/>
      <c r="K79" s="192"/>
      <c r="L79" s="121"/>
      <c r="M79" s="125"/>
      <c r="N79" s="221"/>
      <c r="O79" s="125"/>
      <c r="P79" s="221"/>
      <c r="Q79" s="221"/>
      <c r="R79" s="228" t="s">
        <v>7253</v>
      </c>
      <c r="S79" s="228"/>
      <c r="T79" s="125"/>
      <c r="U79" s="125"/>
      <c r="V79" s="125"/>
      <c r="W79" s="125"/>
      <c r="X79" s="125"/>
      <c r="Y79" s="125"/>
      <c r="Z79" s="125"/>
    </row>
    <row r="80">
      <c r="A80" s="119"/>
      <c r="B80" s="119" t="s">
        <v>276</v>
      </c>
      <c r="C80" s="224" t="s">
        <v>7254</v>
      </c>
      <c r="D80" s="224" t="s">
        <v>16</v>
      </c>
      <c r="E80" s="228" t="s">
        <v>7255</v>
      </c>
      <c r="F80" s="123">
        <f t="shared" si="1"/>
        <v>1</v>
      </c>
      <c r="G80" s="121" t="s">
        <v>7256</v>
      </c>
      <c r="H80" s="226"/>
      <c r="I80" s="192" t="str">
        <f>IFERROR(__xludf.DUMMYFUNCTION("regexreplace(lower(C80), ""_"", """")"),"hypertensiontext")</f>
        <v>hypertensiontext</v>
      </c>
      <c r="J80" s="192" t="b">
        <f t="shared" ref="J80:J88" si="8">exact(I80, K80)</f>
        <v>1</v>
      </c>
      <c r="K80" s="192" t="str">
        <f>IFERROR(__xludf.DUMMYFUNCTION("regexreplace(G80, ""_"", """")"),"hypertensiontext")</f>
        <v>hypertensiontext</v>
      </c>
      <c r="L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""$1$2"")"),"hypertension_text")</f>
        <v>hypertension_text</v>
      </c>
      <c r="M80" s="125"/>
      <c r="N80" s="221"/>
      <c r="O80" s="125"/>
      <c r="P80" s="221"/>
      <c r="Q80" s="221"/>
      <c r="R80" s="227"/>
      <c r="S80" s="228" t="s">
        <v>7257</v>
      </c>
      <c r="T80" s="125"/>
      <c r="U80" s="125"/>
      <c r="V80" s="125"/>
      <c r="W80" s="125"/>
      <c r="X80" s="125"/>
      <c r="Y80" s="125"/>
      <c r="Z80" s="125"/>
    </row>
    <row r="81">
      <c r="A81" s="119"/>
      <c r="B81" s="119" t="s">
        <v>276</v>
      </c>
      <c r="C81" s="121" t="s">
        <v>305</v>
      </c>
      <c r="D81" s="121" t="s">
        <v>40</v>
      </c>
      <c r="E81" s="221" t="s">
        <v>306</v>
      </c>
      <c r="F81" s="123">
        <f t="shared" si="1"/>
        <v>3</v>
      </c>
      <c r="G81" s="121" t="s">
        <v>307</v>
      </c>
      <c r="H81" s="12"/>
      <c r="I81" s="192" t="str">
        <f>IFERROR(__xludf.DUMMYFUNCTION("regexreplace(lower(C81), ""_"", """")"),"antepartumhemorrhage")</f>
        <v>antepartumhemorrhage</v>
      </c>
      <c r="J81" s="192" t="b">
        <f t="shared" si="8"/>
        <v>1</v>
      </c>
      <c r="K81" s="192" t="str">
        <f>IFERROR(__xludf.DUMMYFUNCTION("regexreplace(G81, ""_"", """")"),"antepartumhemorrhage")</f>
        <v>antepartumhemorrhage</v>
      </c>
      <c r="L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""$1$2"")"),"antepartum_hemorrhage")</f>
        <v>antepartum_hemorrhage</v>
      </c>
      <c r="M81" s="125"/>
      <c r="N81" s="222"/>
      <c r="O81" s="125"/>
      <c r="P81" s="222" t="s">
        <v>308</v>
      </c>
      <c r="Q81" s="222" t="s">
        <v>309</v>
      </c>
      <c r="R81" s="221" t="s">
        <v>307</v>
      </c>
      <c r="S81" s="223"/>
      <c r="T81" s="125"/>
      <c r="U81" s="125"/>
      <c r="V81" s="125"/>
      <c r="W81" s="125"/>
      <c r="X81" s="125"/>
      <c r="Y81" s="125"/>
      <c r="Z81" s="125"/>
    </row>
    <row r="82">
      <c r="A82" s="119"/>
      <c r="B82" s="119" t="s">
        <v>276</v>
      </c>
      <c r="C82" s="121" t="s">
        <v>310</v>
      </c>
      <c r="D82" s="121" t="s">
        <v>40</v>
      </c>
      <c r="E82" s="221" t="s">
        <v>311</v>
      </c>
      <c r="F82" s="123">
        <f t="shared" si="1"/>
        <v>4</v>
      </c>
      <c r="G82" s="121" t="s">
        <v>312</v>
      </c>
      <c r="H82" s="12"/>
      <c r="I82" s="192" t="str">
        <f>IFERROR(__xludf.DUMMYFUNCTION("regexreplace(lower(C82), ""_"", """")"),"thyroidmalfunction")</f>
        <v>thyroidmalfunction</v>
      </c>
      <c r="J82" s="192" t="b">
        <f t="shared" si="8"/>
        <v>1</v>
      </c>
      <c r="K82" s="192" t="str">
        <f>IFERROR(__xludf.DUMMYFUNCTION("regexreplace(G82, ""_"", """")"),"thyroidmalfunction")</f>
        <v>thyroidmalfunction</v>
      </c>
      <c r="L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""$1$2"")"),"thyroid_malfunction")</f>
        <v>thyroid_malfunction</v>
      </c>
      <c r="M82" s="125"/>
      <c r="N82" s="221"/>
      <c r="O82" s="122" t="s">
        <v>7258</v>
      </c>
      <c r="P82" s="221" t="s">
        <v>313</v>
      </c>
      <c r="Q82" s="221" t="s">
        <v>314</v>
      </c>
      <c r="R82" s="221" t="s">
        <v>7259</v>
      </c>
      <c r="S82" s="223"/>
      <c r="T82" s="125"/>
      <c r="U82" s="125"/>
      <c r="V82" s="125"/>
      <c r="W82" s="125"/>
      <c r="X82" s="125"/>
      <c r="Y82" s="125"/>
      <c r="Z82" s="125"/>
    </row>
    <row r="83">
      <c r="A83" s="119"/>
      <c r="B83" s="119" t="s">
        <v>276</v>
      </c>
      <c r="C83" s="121" t="s">
        <v>315</v>
      </c>
      <c r="D83" s="121" t="s">
        <v>40</v>
      </c>
      <c r="E83" s="221" t="s">
        <v>316</v>
      </c>
      <c r="F83" s="123">
        <f t="shared" si="1"/>
        <v>3</v>
      </c>
      <c r="G83" s="121" t="s">
        <v>315</v>
      </c>
      <c r="H83" s="12"/>
      <c r="I83" s="192" t="str">
        <f>IFERROR(__xludf.DUMMYFUNCTION("regexreplace(lower(C83), ""_"", """")"),"diabetes")</f>
        <v>diabetes</v>
      </c>
      <c r="J83" s="192" t="b">
        <f t="shared" si="8"/>
        <v>1</v>
      </c>
      <c r="K83" s="192" t="str">
        <f>IFERROR(__xludf.DUMMYFUNCTION("regexreplace(G83, ""_"", """")"),"diabetes")</f>
        <v>diabetes</v>
      </c>
      <c r="L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""$1$2"")"),"diabetes")</f>
        <v>diabetes</v>
      </c>
      <c r="M83" s="125"/>
      <c r="N83" s="221"/>
      <c r="O83" s="122" t="s">
        <v>7260</v>
      </c>
      <c r="P83" s="221" t="s">
        <v>317</v>
      </c>
      <c r="Q83" s="221" t="s">
        <v>318</v>
      </c>
      <c r="R83" s="223"/>
      <c r="S83" s="223"/>
      <c r="T83" s="125"/>
      <c r="U83" s="125"/>
      <c r="V83" s="125"/>
      <c r="W83" s="125"/>
      <c r="X83" s="125"/>
      <c r="Y83" s="125"/>
      <c r="Z83" s="125"/>
    </row>
    <row r="84">
      <c r="A84" s="119"/>
      <c r="B84" s="119" t="s">
        <v>276</v>
      </c>
      <c r="C84" s="224" t="s">
        <v>7261</v>
      </c>
      <c r="D84" s="224" t="s">
        <v>16</v>
      </c>
      <c r="E84" s="228" t="s">
        <v>7262</v>
      </c>
      <c r="F84" s="123">
        <f t="shared" si="1"/>
        <v>1</v>
      </c>
      <c r="G84" s="121" t="s">
        <v>7263</v>
      </c>
      <c r="H84" s="226"/>
      <c r="I84" s="192" t="str">
        <f>IFERROR(__xludf.DUMMYFUNCTION("regexreplace(lower(C84), ""_"", """")"),"diabetestext")</f>
        <v>diabetestext</v>
      </c>
      <c r="J84" s="192" t="b">
        <f t="shared" si="8"/>
        <v>1</v>
      </c>
      <c r="K84" s="192" t="str">
        <f>IFERROR(__xludf.DUMMYFUNCTION("regexreplace(G84, ""_"", """")"),"diabetestext")</f>
        <v>diabetestext</v>
      </c>
      <c r="L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""$1$2"")"),"diabetes_text")</f>
        <v>diabetes_text</v>
      </c>
      <c r="M84" s="125"/>
      <c r="N84" s="221"/>
      <c r="O84" s="125"/>
      <c r="P84" s="221"/>
      <c r="Q84" s="221"/>
      <c r="R84" s="227"/>
      <c r="S84" s="228" t="s">
        <v>7264</v>
      </c>
      <c r="T84" s="125"/>
      <c r="U84" s="125"/>
      <c r="V84" s="125"/>
      <c r="W84" s="125"/>
      <c r="X84" s="125"/>
      <c r="Y84" s="125"/>
      <c r="Z84" s="125"/>
    </row>
    <row r="85">
      <c r="A85" s="119"/>
      <c r="B85" s="119" t="s">
        <v>276</v>
      </c>
      <c r="C85" s="224" t="s">
        <v>7265</v>
      </c>
      <c r="D85" s="224" t="s">
        <v>16</v>
      </c>
      <c r="E85" s="228" t="s">
        <v>7266</v>
      </c>
      <c r="F85" s="123">
        <f t="shared" si="1"/>
        <v>1</v>
      </c>
      <c r="G85" s="121" t="s">
        <v>7267</v>
      </c>
      <c r="H85" s="226"/>
      <c r="I85" s="192" t="str">
        <f>IFERROR(__xludf.DUMMYFUNCTION("regexreplace(lower(C85), ""_"", """")"),"pregnancycomplicationothertext")</f>
        <v>pregnancycomplicationothertext</v>
      </c>
      <c r="J85" s="192" t="b">
        <f t="shared" si="8"/>
        <v>1</v>
      </c>
      <c r="K85" s="192" t="str">
        <f>IFERROR(__xludf.DUMMYFUNCTION("regexreplace(G85, ""_"", """")"),"pregnancycomplicationothertext")</f>
        <v>pregnancycomplicationothertext</v>
      </c>
      <c r="L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""$1$2"")"),"pregnancy_complication_other_text")</f>
        <v>pregnancy_complication_other_text</v>
      </c>
      <c r="M85" s="125"/>
      <c r="N85" s="222"/>
      <c r="O85" s="125"/>
      <c r="P85" s="222"/>
      <c r="Q85" s="222"/>
      <c r="R85" s="227"/>
      <c r="S85" s="228" t="s">
        <v>7268</v>
      </c>
      <c r="T85" s="125"/>
      <c r="U85" s="125"/>
      <c r="V85" s="125"/>
      <c r="W85" s="125"/>
      <c r="X85" s="125"/>
      <c r="Y85" s="125"/>
      <c r="Z85" s="125"/>
    </row>
    <row r="86">
      <c r="A86" s="119"/>
      <c r="B86" s="119" t="s">
        <v>276</v>
      </c>
      <c r="C86" s="224" t="s">
        <v>7269</v>
      </c>
      <c r="D86" s="224"/>
      <c r="E86" s="225" t="s">
        <v>7270</v>
      </c>
      <c r="F86" s="123">
        <f t="shared" si="1"/>
        <v>1</v>
      </c>
      <c r="G86" s="121" t="s">
        <v>7271</v>
      </c>
      <c r="H86" s="226"/>
      <c r="I86" s="192" t="str">
        <f>IFERROR(__xludf.DUMMYFUNCTION("regexreplace(lower(C86), ""_"", """")"),"maternalmedication")</f>
        <v>maternalmedication</v>
      </c>
      <c r="J86" s="192" t="b">
        <f t="shared" si="8"/>
        <v>1</v>
      </c>
      <c r="K86" s="192" t="str">
        <f>IFERROR(__xludf.DUMMYFUNCTION("regexreplace(G86, ""_"", """")"),"maternalmedication")</f>
        <v>maternalmedication</v>
      </c>
      <c r="L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""$1$2"")"),"maternal_medication")</f>
        <v>maternal_medication</v>
      </c>
      <c r="M86" s="125"/>
      <c r="N86" s="222"/>
      <c r="O86" s="125"/>
      <c r="P86" s="222"/>
      <c r="Q86" s="222"/>
      <c r="R86" s="227"/>
      <c r="S86" s="228" t="s">
        <v>7272</v>
      </c>
      <c r="T86" s="125"/>
      <c r="U86" s="125"/>
      <c r="V86" s="125"/>
      <c r="W86" s="125"/>
      <c r="X86" s="125"/>
      <c r="Y86" s="125"/>
      <c r="Z86" s="125"/>
    </row>
    <row r="87">
      <c r="A87" s="119"/>
      <c r="B87" s="119" t="s">
        <v>276</v>
      </c>
      <c r="C87" s="224" t="s">
        <v>7273</v>
      </c>
      <c r="D87" s="224"/>
      <c r="E87" s="228" t="s">
        <v>7274</v>
      </c>
      <c r="F87" s="123">
        <f t="shared" si="1"/>
        <v>1</v>
      </c>
      <c r="G87" s="121" t="s">
        <v>7275</v>
      </c>
      <c r="H87" s="226"/>
      <c r="I87" s="192" t="str">
        <f>IFERROR(__xludf.DUMMYFUNCTION("regexreplace(lower(C87), ""_"", """")"),"maternalmedicationother")</f>
        <v>maternalmedicationother</v>
      </c>
      <c r="J87" s="192" t="b">
        <f t="shared" si="8"/>
        <v>1</v>
      </c>
      <c r="K87" s="192" t="str">
        <f>IFERROR(__xludf.DUMMYFUNCTION("regexreplace(G87, ""_"", """")"),"maternalmedicationother")</f>
        <v>maternalmedicationother</v>
      </c>
      <c r="L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""$1$2"")"),"maternal_medication_other")</f>
        <v>maternal_medication_other</v>
      </c>
      <c r="M87" s="125"/>
      <c r="N87" s="222"/>
      <c r="O87" s="125"/>
      <c r="P87" s="222"/>
      <c r="Q87" s="222"/>
      <c r="R87" s="227"/>
      <c r="S87" s="228" t="s">
        <v>7276</v>
      </c>
      <c r="T87" s="125"/>
      <c r="U87" s="125"/>
      <c r="V87" s="125"/>
      <c r="W87" s="125"/>
      <c r="X87" s="125"/>
      <c r="Y87" s="125"/>
      <c r="Z87" s="125"/>
    </row>
    <row r="88">
      <c r="A88" s="119"/>
      <c r="B88" s="119" t="s">
        <v>276</v>
      </c>
      <c r="C88" s="224" t="s">
        <v>7277</v>
      </c>
      <c r="D88" s="224"/>
      <c r="E88" s="228" t="s">
        <v>7277</v>
      </c>
      <c r="F88" s="123">
        <f t="shared" si="1"/>
        <v>1</v>
      </c>
      <c r="G88" s="121" t="s">
        <v>7278</v>
      </c>
      <c r="H88" s="226"/>
      <c r="I88" s="192" t="str">
        <f>IFERROR(__xludf.DUMMYFUNCTION("regexreplace(lower(C88), ""_"", """")"),"iugr")</f>
        <v>iugr</v>
      </c>
      <c r="J88" s="192" t="b">
        <f t="shared" si="8"/>
        <v>1</v>
      </c>
      <c r="K88" s="192" t="str">
        <f>IFERROR(__xludf.DUMMYFUNCTION("regexreplace(G88, ""_"", """")"),"iugr")</f>
        <v>iugr</v>
      </c>
      <c r="L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""$1$2"")"),"i_u_g_r")</f>
        <v>i_u_g_r</v>
      </c>
      <c r="M88" s="125"/>
      <c r="N88" s="222"/>
      <c r="O88" s="125"/>
      <c r="P88" s="222"/>
      <c r="Q88" s="222"/>
      <c r="R88" s="227"/>
      <c r="S88" s="228" t="s">
        <v>7278</v>
      </c>
      <c r="T88" s="125"/>
      <c r="U88" s="125"/>
      <c r="V88" s="125"/>
      <c r="W88" s="125"/>
      <c r="X88" s="125"/>
      <c r="Y88" s="125"/>
      <c r="Z88" s="125"/>
    </row>
    <row r="89">
      <c r="A89" s="33"/>
      <c r="B89" s="33"/>
      <c r="C89" s="12"/>
      <c r="D89" s="12"/>
      <c r="E89" s="13"/>
      <c r="F89" s="123">
        <f t="shared" si="1"/>
        <v>0</v>
      </c>
      <c r="G89" s="12"/>
      <c r="H89" s="12"/>
      <c r="I89" s="12"/>
      <c r="J89" s="12"/>
      <c r="K89" s="12"/>
      <c r="L89" s="12"/>
      <c r="N89" s="35"/>
      <c r="P89" s="35"/>
      <c r="Q89" s="35"/>
      <c r="R89" s="88"/>
      <c r="S89" s="88"/>
    </row>
    <row r="90">
      <c r="A90" s="189" t="s">
        <v>10</v>
      </c>
      <c r="B90" s="129" t="s">
        <v>319</v>
      </c>
      <c r="C90" s="131" t="s">
        <v>320</v>
      </c>
      <c r="D90" s="131" t="s">
        <v>26</v>
      </c>
      <c r="E90" s="230" t="s">
        <v>321</v>
      </c>
      <c r="F90" s="123">
        <f t="shared" si="1"/>
        <v>2</v>
      </c>
      <c r="G90" s="131" t="s">
        <v>322</v>
      </c>
      <c r="H90" s="12"/>
      <c r="I90" s="192" t="str">
        <f>IFERROR(__xludf.DUMMYFUNCTION("regexreplace(lower(C90), ""_"", """")"),"maternaladmissiondate")</f>
        <v>maternaladmissiondate</v>
      </c>
      <c r="J90" s="131" t="b">
        <f t="shared" ref="J90:J91" si="9">exact(I90, K90)</f>
        <v>1</v>
      </c>
      <c r="K90" s="131" t="str">
        <f>IFERROR(__xludf.DUMMYFUNCTION("regexreplace(G90, ""_"", """")"),"maternaladmissiondate")</f>
        <v>maternaladmissiondate</v>
      </c>
      <c r="L9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""$1$2"")"),"maternal_admission_date")</f>
        <v>maternal_admission_date</v>
      </c>
      <c r="M90" s="61" t="s">
        <v>7279</v>
      </c>
      <c r="N90" s="140" t="s">
        <v>7280</v>
      </c>
      <c r="O90" s="136"/>
      <c r="P90" s="231" t="s">
        <v>323</v>
      </c>
      <c r="Q90" s="231" t="s">
        <v>324</v>
      </c>
      <c r="R90" s="232"/>
      <c r="S90" s="232"/>
      <c r="T90" s="136"/>
      <c r="U90" s="136"/>
      <c r="V90" s="136"/>
      <c r="W90" s="136"/>
      <c r="X90" s="136"/>
      <c r="Y90" s="136"/>
      <c r="Z90" s="136"/>
    </row>
    <row r="91">
      <c r="A91" s="129"/>
      <c r="B91" s="129" t="s">
        <v>319</v>
      </c>
      <c r="C91" s="131" t="s">
        <v>325</v>
      </c>
      <c r="D91" s="131" t="s">
        <v>145</v>
      </c>
      <c r="E91" s="230" t="s">
        <v>326</v>
      </c>
      <c r="F91" s="123">
        <f t="shared" si="1"/>
        <v>2</v>
      </c>
      <c r="G91" s="131" t="s">
        <v>327</v>
      </c>
      <c r="H91" s="12"/>
      <c r="I91" s="192" t="str">
        <f>IFERROR(__xludf.DUMMYFUNCTION("regexreplace(lower(C91), ""_"", """")"),"maternaladmissiontime")</f>
        <v>maternaladmissiontime</v>
      </c>
      <c r="J91" s="131" t="b">
        <f t="shared" si="9"/>
        <v>1</v>
      </c>
      <c r="K91" s="131" t="str">
        <f>IFERROR(__xludf.DUMMYFUNCTION("regexreplace(G91, ""_"", """")"),"maternaladmissiontime")</f>
        <v>maternaladmissiontime</v>
      </c>
      <c r="L9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91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""$1$2"")"),"maternal_admission_time")</f>
        <v>maternal_admission_time</v>
      </c>
      <c r="M91" s="136"/>
      <c r="N91" s="231"/>
      <c r="O91" s="136"/>
      <c r="P91" s="231" t="s">
        <v>328</v>
      </c>
      <c r="Q91" s="231" t="s">
        <v>329</v>
      </c>
      <c r="R91" s="232"/>
      <c r="S91" s="232"/>
      <c r="T91" s="136"/>
      <c r="U91" s="136"/>
      <c r="V91" s="136"/>
      <c r="W91" s="136"/>
      <c r="X91" s="136"/>
      <c r="Y91" s="136"/>
      <c r="Z91" s="136"/>
    </row>
    <row r="92">
      <c r="A92" s="129"/>
      <c r="B92" s="129"/>
      <c r="C92" s="233"/>
      <c r="D92" s="233"/>
      <c r="E92" s="234"/>
      <c r="F92" s="123">
        <f t="shared" si="1"/>
        <v>0</v>
      </c>
      <c r="G92" s="61" t="s">
        <v>7281</v>
      </c>
      <c r="H92" s="226"/>
      <c r="I92" s="192"/>
      <c r="J92" s="131"/>
      <c r="K92" s="131"/>
      <c r="L92" s="131"/>
      <c r="M92" s="61" t="s">
        <v>7282</v>
      </c>
      <c r="N92" s="136"/>
      <c r="O92" s="136"/>
      <c r="P92" s="136"/>
      <c r="Q92" s="136"/>
      <c r="R92" s="235"/>
      <c r="S92" s="234"/>
      <c r="T92" s="136"/>
      <c r="U92" s="136"/>
      <c r="V92" s="136"/>
      <c r="W92" s="136"/>
      <c r="X92" s="136"/>
      <c r="Y92" s="136"/>
      <c r="Z92" s="136"/>
    </row>
    <row r="93">
      <c r="A93" s="129"/>
      <c r="B93" s="129"/>
      <c r="C93" s="233"/>
      <c r="D93" s="233" t="s">
        <v>483</v>
      </c>
      <c r="E93" s="234"/>
      <c r="F93" s="123">
        <f t="shared" si="1"/>
        <v>0</v>
      </c>
      <c r="G93" s="61" t="s">
        <v>7283</v>
      </c>
      <c r="H93" s="226"/>
      <c r="I93" s="192"/>
      <c r="J93" s="131"/>
      <c r="K93" s="131"/>
      <c r="L93" s="131"/>
      <c r="M93" s="61" t="s">
        <v>7284</v>
      </c>
      <c r="N93" s="136"/>
      <c r="O93" s="136"/>
      <c r="P93" s="136"/>
      <c r="Q93" s="136"/>
      <c r="R93" s="235"/>
      <c r="S93" s="234"/>
      <c r="T93" s="136"/>
      <c r="U93" s="136"/>
      <c r="V93" s="136"/>
      <c r="W93" s="136"/>
      <c r="X93" s="136"/>
      <c r="Y93" s="136"/>
      <c r="Z93" s="136"/>
    </row>
    <row r="94">
      <c r="A94" s="129"/>
      <c r="B94" s="129" t="s">
        <v>319</v>
      </c>
      <c r="C94" s="233" t="s">
        <v>7285</v>
      </c>
      <c r="D94" s="233" t="s">
        <v>16</v>
      </c>
      <c r="E94" s="234" t="s">
        <v>7286</v>
      </c>
      <c r="F94" s="123">
        <f t="shared" si="1"/>
        <v>1</v>
      </c>
      <c r="G94" s="131" t="s">
        <v>7287</v>
      </c>
      <c r="H94" s="226"/>
      <c r="I94" s="192" t="str">
        <f>IFERROR(__xludf.DUMMYFUNCTION("regexreplace(lower(C94), ""_"", """")"),"birthhospital")</f>
        <v>birthhospital</v>
      </c>
      <c r="J94" s="131" t="b">
        <f t="shared" ref="J94:J106" si="10">exact(I94, K94)</f>
        <v>1</v>
      </c>
      <c r="K94" s="131" t="str">
        <f>IFERROR(__xludf.DUMMYFUNCTION("regexreplace(G94, ""_"", """")"),"birthhospital")</f>
        <v>birthhospital</v>
      </c>
      <c r="L9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""$1$2"")"),"birth_hospital")</f>
        <v>birth_hospital</v>
      </c>
      <c r="M94" s="136"/>
      <c r="N94" s="136"/>
      <c r="O94" s="136"/>
      <c r="P94" s="136"/>
      <c r="Q94" s="136"/>
      <c r="R94" s="235"/>
      <c r="S94" s="234" t="s">
        <v>7287</v>
      </c>
      <c r="T94" s="136"/>
      <c r="U94" s="136"/>
      <c r="V94" s="136"/>
      <c r="W94" s="136"/>
      <c r="X94" s="136"/>
      <c r="Y94" s="136"/>
      <c r="Z94" s="136"/>
    </row>
    <row r="95">
      <c r="A95" s="129"/>
      <c r="B95" s="129" t="s">
        <v>319</v>
      </c>
      <c r="C95" s="233" t="s">
        <v>7288</v>
      </c>
      <c r="D95" s="233" t="s">
        <v>16</v>
      </c>
      <c r="E95" s="236" t="s">
        <v>7289</v>
      </c>
      <c r="F95" s="123">
        <f t="shared" si="1"/>
        <v>1</v>
      </c>
      <c r="G95" s="131" t="s">
        <v>7290</v>
      </c>
      <c r="H95" s="226"/>
      <c r="I95" s="192" t="str">
        <f>IFERROR(__xludf.DUMMYFUNCTION("regexreplace(lower(C95), ""_"", """")"),"otherbirthlocation")</f>
        <v>otherbirthlocation</v>
      </c>
      <c r="J95" s="131" t="b">
        <f t="shared" si="10"/>
        <v>1</v>
      </c>
      <c r="K95" s="131" t="str">
        <f>IFERROR(__xludf.DUMMYFUNCTION("regexreplace(G95, ""_"", """")"),"otherbirthlocation")</f>
        <v>otherbirthlocation</v>
      </c>
      <c r="L9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""$1$2"")"),"other_birth_location")</f>
        <v>other_birth_location</v>
      </c>
      <c r="M95" s="136"/>
      <c r="N95" s="237"/>
      <c r="O95" s="136"/>
      <c r="P95" s="237"/>
      <c r="Q95" s="238"/>
      <c r="R95" s="239"/>
      <c r="S95" s="236" t="s">
        <v>7291</v>
      </c>
      <c r="T95" s="136"/>
      <c r="U95" s="136"/>
      <c r="V95" s="136"/>
      <c r="W95" s="136"/>
      <c r="X95" s="136"/>
      <c r="Y95" s="136"/>
      <c r="Z95" s="136"/>
    </row>
    <row r="96">
      <c r="A96" s="129"/>
      <c r="B96" s="129" t="s">
        <v>319</v>
      </c>
      <c r="C96" s="131" t="s">
        <v>330</v>
      </c>
      <c r="D96" s="131" t="s">
        <v>26</v>
      </c>
      <c r="E96" s="230" t="s">
        <v>331</v>
      </c>
      <c r="F96" s="123">
        <f t="shared" si="1"/>
        <v>2</v>
      </c>
      <c r="G96" s="131" t="s">
        <v>332</v>
      </c>
      <c r="H96" s="12"/>
      <c r="I96" s="192" t="str">
        <f>IFERROR(__xludf.DUMMYFUNCTION("regexreplace(lower(C96), ""_"", """")"),"rupturedate")</f>
        <v>rupturedate</v>
      </c>
      <c r="J96" s="131" t="b">
        <f t="shared" si="10"/>
        <v>1</v>
      </c>
      <c r="K96" s="131" t="str">
        <f>IFERROR(__xludf.DUMMYFUNCTION("regexreplace(G96, ""_"", """")"),"rupturedate")</f>
        <v>rupturedate</v>
      </c>
      <c r="L9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""$1$2"")"),"rupture_date")</f>
        <v>rupture_date</v>
      </c>
      <c r="M96" s="136"/>
      <c r="N96" s="231"/>
      <c r="O96" s="136"/>
      <c r="P96" s="231" t="s">
        <v>333</v>
      </c>
      <c r="Q96" s="231" t="s">
        <v>334</v>
      </c>
      <c r="R96" s="232"/>
      <c r="S96" s="232"/>
      <c r="T96" s="136"/>
      <c r="U96" s="136"/>
      <c r="V96" s="136"/>
      <c r="W96" s="136"/>
      <c r="X96" s="136"/>
      <c r="Y96" s="136"/>
      <c r="Z96" s="136"/>
    </row>
    <row r="97">
      <c r="A97" s="129"/>
      <c r="B97" s="129" t="s">
        <v>319</v>
      </c>
      <c r="C97" s="131" t="s">
        <v>335</v>
      </c>
      <c r="D97" s="131" t="s">
        <v>145</v>
      </c>
      <c r="E97" s="230" t="s">
        <v>336</v>
      </c>
      <c r="F97" s="123">
        <f t="shared" si="1"/>
        <v>2</v>
      </c>
      <c r="G97" s="131" t="s">
        <v>337</v>
      </c>
      <c r="H97" s="12"/>
      <c r="I97" s="192" t="str">
        <f>IFERROR(__xludf.DUMMYFUNCTION("regexreplace(lower(C97), ""_"", """")"),"rupturetime")</f>
        <v>rupturetime</v>
      </c>
      <c r="J97" s="131" t="b">
        <f t="shared" si="10"/>
        <v>1</v>
      </c>
      <c r="K97" s="131" t="str">
        <f>IFERROR(__xludf.DUMMYFUNCTION("regexreplace(G97, ""_"", """")"),"rupturetime")</f>
        <v>rupturetime</v>
      </c>
      <c r="L9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""$1$2"")"),"rupture_time")</f>
        <v>rupture_time</v>
      </c>
      <c r="M97" s="136"/>
      <c r="N97" s="231"/>
      <c r="O97" s="136"/>
      <c r="P97" s="231" t="s">
        <v>338</v>
      </c>
      <c r="Q97" s="231" t="s">
        <v>339</v>
      </c>
      <c r="R97" s="232"/>
      <c r="S97" s="232"/>
      <c r="T97" s="136"/>
      <c r="U97" s="136"/>
      <c r="V97" s="136"/>
      <c r="W97" s="136"/>
      <c r="X97" s="136"/>
      <c r="Y97" s="136"/>
      <c r="Z97" s="136"/>
    </row>
    <row r="98">
      <c r="A98" s="129"/>
      <c r="B98" s="129" t="s">
        <v>319</v>
      </c>
      <c r="C98" s="240" t="s">
        <v>340</v>
      </c>
      <c r="D98" s="240" t="s">
        <v>40</v>
      </c>
      <c r="E98" s="230" t="s">
        <v>341</v>
      </c>
      <c r="F98" s="123">
        <f t="shared" si="1"/>
        <v>3</v>
      </c>
      <c r="G98" s="131" t="s">
        <v>342</v>
      </c>
      <c r="H98" s="49"/>
      <c r="I98" s="192" t="str">
        <f>IFERROR(__xludf.DUMMYFUNCTION("regexreplace(lower(C98), ""_"", """")"),"ruptureover18hr")</f>
        <v>ruptureover18hr</v>
      </c>
      <c r="J98" s="131" t="b">
        <f t="shared" si="10"/>
        <v>1</v>
      </c>
      <c r="K98" s="131" t="str">
        <f>IFERROR(__xludf.DUMMYFUNCTION("regexreplace(G98, ""_"", """")"),"ruptureover18hr")</f>
        <v>ruptureover18hr</v>
      </c>
      <c r="L9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""$1$2"")"),"rupture_over18hr")</f>
        <v>rupture_over18hr</v>
      </c>
      <c r="M98" s="136"/>
      <c r="N98" s="231"/>
      <c r="O98" s="136"/>
      <c r="P98" s="231" t="s">
        <v>343</v>
      </c>
      <c r="Q98" s="231" t="s">
        <v>344</v>
      </c>
      <c r="R98" s="232"/>
      <c r="S98" s="238" t="s">
        <v>7292</v>
      </c>
      <c r="T98" s="136"/>
      <c r="U98" s="136"/>
      <c r="V98" s="136"/>
      <c r="W98" s="136"/>
      <c r="X98" s="136"/>
      <c r="Y98" s="136"/>
      <c r="Z98" s="136"/>
    </row>
    <row r="99">
      <c r="A99" s="129"/>
      <c r="B99" s="129" t="s">
        <v>319</v>
      </c>
      <c r="C99" s="131" t="s">
        <v>345</v>
      </c>
      <c r="D99" s="131" t="s">
        <v>40</v>
      </c>
      <c r="E99" s="238" t="s">
        <v>346</v>
      </c>
      <c r="F99" s="123">
        <f t="shared" si="1"/>
        <v>1</v>
      </c>
      <c r="G99" s="131" t="s">
        <v>347</v>
      </c>
      <c r="H99" s="12"/>
      <c r="I99" s="192" t="str">
        <f>IFERROR(__xludf.DUMMYFUNCTION("regexreplace(lower(C99), ""_"", """")"),"rupturebeforedelivery")</f>
        <v>rupturebeforedelivery</v>
      </c>
      <c r="J99" s="131" t="b">
        <f t="shared" si="10"/>
        <v>1</v>
      </c>
      <c r="K99" s="131" t="str">
        <f>IFERROR(__xludf.DUMMYFUNCTION("regexreplace(G99, ""_"", """")"),"rupturebeforedelivery")</f>
        <v>rupturebeforedelivery</v>
      </c>
      <c r="L9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, ""([A-Z])"", ""_$1"&amp;""")), ""m_r_i"", ""mri""), ""_i_d$"", ""_id""), ""d_n_r"", ""dnr""), ""a_p_g_a_r"", ""apgar""), ""_p_h"", ""_ph""), ""_p_c_o2"", ""_pco2""), ""_p_o2"", ""_po2""), ""_h_c_o3"", ""_hco3""), ""_a_s_t_s_g_o_t"", ""_ast_sgot""), ""_a_l_t_s_g_p_t"", ""_alt_sgpt"&amp;"""),  ""m_eq_per_l"", ""_meqperl""), ""mg_perd_l"", ""_mgperdl""), ""mm_hg"", ""_mmhg""), ""_u_per_l"", ""_uperl""), ""^_"", """"), ""e_k_g"", ""ekg""), ""s_a_e"", ""sae""), ""r_t_i"", ""rti""), ""f_l_a_i_r"", ""flair""), ""g_r_e_s_w_i"", ""greswi""), ""s"&amp;"_p_g_r"", ""spgr""), ""d_w_i"", ""dwi""), ""a_d_c"", ""adc""), ""m_r_s"", ""mrs""), ""_c_t"", ""_ct""), ""p_l_i_c"", ""plic""), ""a_l_i_c"", ""alic""), ""n_r_n"", ""nrn""), ""b_g_t"", ""bgt""), ""e_c_m_o"", ""ecmo""), ""c_n_s"", ""cns""), ""c_p_a_p"", ""c"&amp;"pap""), ""fi_o2"", ""fio2""), ""e_e_g"", ""eeg""), ""h_i_e"", ""hie""), ""(\d)_([a-z])"", ""$1$2"")"),"rupture_before_delivery")</f>
        <v>rupture_before_delivery</v>
      </c>
      <c r="M99" s="136"/>
      <c r="N99" s="237"/>
      <c r="O99" s="136"/>
      <c r="P99" s="237"/>
      <c r="Q99" s="238" t="s">
        <v>348</v>
      </c>
      <c r="R99" s="232"/>
      <c r="S99" s="232"/>
      <c r="T99" s="136"/>
      <c r="U99" s="136"/>
      <c r="V99" s="136"/>
      <c r="W99" s="136"/>
      <c r="X99" s="136"/>
      <c r="Y99" s="136"/>
      <c r="Z99" s="136"/>
    </row>
    <row r="100">
      <c r="A100" s="129"/>
      <c r="B100" s="129" t="s">
        <v>319</v>
      </c>
      <c r="C100" s="233" t="s">
        <v>7293</v>
      </c>
      <c r="D100" s="233" t="s">
        <v>31</v>
      </c>
      <c r="E100" s="236" t="s">
        <v>7294</v>
      </c>
      <c r="F100" s="123">
        <f t="shared" si="1"/>
        <v>1</v>
      </c>
      <c r="G100" s="131" t="s">
        <v>7295</v>
      </c>
      <c r="H100" s="226"/>
      <c r="I100" s="192" t="str">
        <f>IFERROR(__xludf.DUMMYFUNCTION("regexreplace(lower(C100), ""_"", """")"),"rupturebeforedeliveryhr")</f>
        <v>rupturebeforedeliveryhr</v>
      </c>
      <c r="J100" s="131" t="b">
        <f t="shared" si="10"/>
        <v>1</v>
      </c>
      <c r="K100" s="131" t="str">
        <f>IFERROR(__xludf.DUMMYFUNCTION("regexreplace(G100, ""_"", """")"),"rupturebeforedeliveryhr")</f>
        <v>rupturebeforedeliveryhr</v>
      </c>
      <c r="L10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""$1$2"")"),"rupture_before_delivery_hr")</f>
        <v>rupture_before_delivery_hr</v>
      </c>
      <c r="M100" s="136"/>
      <c r="N100" s="231"/>
      <c r="O100" s="136"/>
      <c r="P100" s="231"/>
      <c r="Q100" s="231"/>
      <c r="R100" s="239"/>
      <c r="S100" s="236" t="s">
        <v>7296</v>
      </c>
      <c r="T100" s="136"/>
      <c r="U100" s="136"/>
      <c r="V100" s="136"/>
      <c r="W100" s="136"/>
      <c r="X100" s="136"/>
      <c r="Y100" s="136"/>
      <c r="Z100" s="136"/>
    </row>
    <row r="101">
      <c r="A101" s="129"/>
      <c r="B101" s="129" t="s">
        <v>319</v>
      </c>
      <c r="C101" s="240" t="s">
        <v>349</v>
      </c>
      <c r="D101" s="240" t="s">
        <v>40</v>
      </c>
      <c r="E101" s="241" t="s">
        <v>350</v>
      </c>
      <c r="F101" s="123">
        <f t="shared" si="1"/>
        <v>1</v>
      </c>
      <c r="G101" s="131" t="s">
        <v>349</v>
      </c>
      <c r="H101" s="49"/>
      <c r="I101" s="192" t="str">
        <f>IFERROR(__xludf.DUMMYFUNCTION("regexreplace(lower(C101), ""_"", """")"),"labor")</f>
        <v>labor</v>
      </c>
      <c r="J101" s="131" t="b">
        <f t="shared" si="10"/>
        <v>1</v>
      </c>
      <c r="K101" s="131" t="str">
        <f>IFERROR(__xludf.DUMMYFUNCTION("regexreplace(G101, ""_"", """")"),"labor")</f>
        <v>labor</v>
      </c>
      <c r="L10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""$1$2"")"),"labor")</f>
        <v>labor</v>
      </c>
      <c r="M101" s="136"/>
      <c r="N101" s="242"/>
      <c r="O101" s="136"/>
      <c r="P101" s="242" t="s">
        <v>351</v>
      </c>
      <c r="Q101" s="243"/>
      <c r="R101" s="232"/>
      <c r="S101" s="232"/>
      <c r="T101" s="136"/>
      <c r="U101" s="136"/>
      <c r="V101" s="136"/>
      <c r="W101" s="136"/>
      <c r="X101" s="136"/>
      <c r="Y101" s="136"/>
      <c r="Z101" s="136"/>
    </row>
    <row r="102">
      <c r="A102" s="129"/>
      <c r="B102" s="129" t="s">
        <v>319</v>
      </c>
      <c r="C102" s="240" t="s">
        <v>352</v>
      </c>
      <c r="D102" s="240" t="s">
        <v>26</v>
      </c>
      <c r="E102" s="241" t="s">
        <v>353</v>
      </c>
      <c r="F102" s="123">
        <f t="shared" si="1"/>
        <v>1</v>
      </c>
      <c r="G102" s="131" t="s">
        <v>354</v>
      </c>
      <c r="H102" s="49"/>
      <c r="I102" s="192" t="str">
        <f>IFERROR(__xludf.DUMMYFUNCTION("regexreplace(lower(C102), ""_"", """")"),"laboronsetdate")</f>
        <v>laboronsetdate</v>
      </c>
      <c r="J102" s="131" t="b">
        <f t="shared" si="10"/>
        <v>1</v>
      </c>
      <c r="K102" s="131" t="str">
        <f>IFERROR(__xludf.DUMMYFUNCTION("regexreplace(G102, ""_"", """")"),"laboronsetdate")</f>
        <v>laboronsetdate</v>
      </c>
      <c r="L10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""$1$2"")"),"labor_onset_date")</f>
        <v>labor_onset_date</v>
      </c>
      <c r="M102" s="136"/>
      <c r="N102" s="242"/>
      <c r="O102" s="136"/>
      <c r="P102" s="242" t="s">
        <v>355</v>
      </c>
      <c r="Q102" s="243"/>
      <c r="R102" s="232"/>
      <c r="S102" s="232"/>
      <c r="T102" s="136"/>
      <c r="U102" s="136"/>
      <c r="V102" s="136"/>
      <c r="W102" s="136"/>
      <c r="X102" s="136"/>
      <c r="Y102" s="136"/>
      <c r="Z102" s="136"/>
    </row>
    <row r="103">
      <c r="A103" s="129"/>
      <c r="B103" s="129" t="s">
        <v>319</v>
      </c>
      <c r="C103" s="240" t="s">
        <v>356</v>
      </c>
      <c r="D103" s="240" t="s">
        <v>145</v>
      </c>
      <c r="E103" s="241" t="s">
        <v>357</v>
      </c>
      <c r="F103" s="123">
        <f t="shared" si="1"/>
        <v>1</v>
      </c>
      <c r="G103" s="131" t="s">
        <v>358</v>
      </c>
      <c r="H103" s="49"/>
      <c r="I103" s="192" t="str">
        <f>IFERROR(__xludf.DUMMYFUNCTION("regexreplace(lower(C103), ""_"", """")"),"laboronsettime")</f>
        <v>laboronsettime</v>
      </c>
      <c r="J103" s="131" t="b">
        <f t="shared" si="10"/>
        <v>1</v>
      </c>
      <c r="K103" s="131" t="str">
        <f>IFERROR(__xludf.DUMMYFUNCTION("regexreplace(G103, ""_"", """")"),"laboronsettime")</f>
        <v>laboronsettime</v>
      </c>
      <c r="L10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""$1$2"")"),"labor_onset_time")</f>
        <v>labor_onset_time</v>
      </c>
      <c r="M103" s="136"/>
      <c r="N103" s="242"/>
      <c r="O103" s="136"/>
      <c r="P103" s="242" t="s">
        <v>359</v>
      </c>
      <c r="Q103" s="243"/>
      <c r="R103" s="232"/>
      <c r="S103" s="232"/>
      <c r="T103" s="136"/>
      <c r="U103" s="136"/>
      <c r="V103" s="136"/>
      <c r="W103" s="136"/>
      <c r="X103" s="136"/>
      <c r="Y103" s="136"/>
      <c r="Z103" s="136"/>
    </row>
    <row r="104">
      <c r="A104" s="129"/>
      <c r="B104" s="129" t="s">
        <v>319</v>
      </c>
      <c r="C104" s="131" t="s">
        <v>360</v>
      </c>
      <c r="D104" s="240" t="s">
        <v>360</v>
      </c>
      <c r="E104" s="238" t="s">
        <v>361</v>
      </c>
      <c r="F104" s="123">
        <f t="shared" si="1"/>
        <v>5</v>
      </c>
      <c r="G104" s="131" t="s">
        <v>362</v>
      </c>
      <c r="H104" s="12"/>
      <c r="I104" s="192" t="str">
        <f>IFERROR(__xludf.DUMMYFUNCTION("regexreplace(lower(C104), ""_"", """")"),"deliverymode")</f>
        <v>deliverymode</v>
      </c>
      <c r="J104" s="131" t="b">
        <f t="shared" si="10"/>
        <v>1</v>
      </c>
      <c r="K104" s="131" t="str">
        <f>IFERROR(__xludf.DUMMYFUNCTION("regexreplace(G104, ""_"", """")"),"deliverymode")</f>
        <v>deliverymode</v>
      </c>
      <c r="L10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""$1$2"")"),"delivery_mode")</f>
        <v>delivery_mode</v>
      </c>
      <c r="M104" s="136"/>
      <c r="N104" s="238" t="s">
        <v>7297</v>
      </c>
      <c r="O104" s="140" t="s">
        <v>7298</v>
      </c>
      <c r="P104" s="238" t="s">
        <v>363</v>
      </c>
      <c r="Q104" s="238" t="s">
        <v>364</v>
      </c>
      <c r="R104" s="238" t="s">
        <v>7299</v>
      </c>
      <c r="S104" s="238" t="s">
        <v>7300</v>
      </c>
      <c r="T104" s="136"/>
      <c r="U104" s="136"/>
      <c r="V104" s="136"/>
      <c r="W104" s="136"/>
      <c r="X104" s="136"/>
      <c r="Y104" s="136"/>
      <c r="Z104" s="136"/>
    </row>
    <row r="105">
      <c r="A105" s="129"/>
      <c r="B105" s="129" t="s">
        <v>319</v>
      </c>
      <c r="C105" s="244" t="s">
        <v>365</v>
      </c>
      <c r="D105" s="244" t="s">
        <v>40</v>
      </c>
      <c r="E105" s="238" t="s">
        <v>366</v>
      </c>
      <c r="F105" s="123">
        <f t="shared" si="1"/>
        <v>3</v>
      </c>
      <c r="G105" s="131" t="s">
        <v>367</v>
      </c>
      <c r="H105" s="39"/>
      <c r="I105" s="192" t="str">
        <f>IFERROR(__xludf.DUMMYFUNCTION("regexreplace(lower(C105), ""_"", """")"),"fetaldecelerate")</f>
        <v>fetaldecelerate</v>
      </c>
      <c r="J105" s="131" t="b">
        <f t="shared" si="10"/>
        <v>1</v>
      </c>
      <c r="K105" s="131" t="str">
        <f>IFERROR(__xludf.DUMMYFUNCTION("regexreplace(G105, ""_"", """")"),"fetaldecelerate")</f>
        <v>fetaldecelerate</v>
      </c>
      <c r="L10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""$1$2"")"),"fetal_decelerate")</f>
        <v>fetal_decelerate</v>
      </c>
      <c r="M105" s="136"/>
      <c r="N105" s="231"/>
      <c r="O105" s="136"/>
      <c r="P105" s="231" t="s">
        <v>368</v>
      </c>
      <c r="Q105" s="231" t="s">
        <v>369</v>
      </c>
      <c r="R105" s="238" t="s">
        <v>7301</v>
      </c>
      <c r="S105" s="232"/>
      <c r="T105" s="136"/>
      <c r="U105" s="136"/>
      <c r="V105" s="136"/>
      <c r="W105" s="136"/>
      <c r="X105" s="136"/>
      <c r="Y105" s="136"/>
      <c r="Z105" s="136"/>
    </row>
    <row r="106">
      <c r="A106" s="129"/>
      <c r="B106" s="129" t="s">
        <v>319</v>
      </c>
      <c r="C106" s="131" t="s">
        <v>370</v>
      </c>
      <c r="D106" s="131" t="s">
        <v>40</v>
      </c>
      <c r="E106" s="238" t="s">
        <v>371</v>
      </c>
      <c r="F106" s="123">
        <f t="shared" si="1"/>
        <v>2</v>
      </c>
      <c r="G106" s="131" t="s">
        <v>372</v>
      </c>
      <c r="H106" s="12" t="s">
        <v>373</v>
      </c>
      <c r="I106" s="192" t="str">
        <f>IFERROR(__xludf.DUMMYFUNCTION("regexreplace(lower(C106), ""_"", """")"),"cordmishap")</f>
        <v>cordmishap</v>
      </c>
      <c r="J106" s="131" t="b">
        <f t="shared" si="10"/>
        <v>1</v>
      </c>
      <c r="K106" s="131" t="str">
        <f>IFERROR(__xludf.DUMMYFUNCTION("regexreplace(G106, ""_"", """")"),"cordmishap")</f>
        <v>cordmishap</v>
      </c>
      <c r="L10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""$1$2"")"),"cord_mishap")</f>
        <v>cord_mishap</v>
      </c>
      <c r="M106" s="136"/>
      <c r="N106" s="238"/>
      <c r="O106" s="136"/>
      <c r="P106" s="238" t="s">
        <v>374</v>
      </c>
      <c r="Q106" s="238" t="s">
        <v>375</v>
      </c>
      <c r="R106" s="232"/>
      <c r="S106" s="232"/>
      <c r="T106" s="136"/>
      <c r="U106" s="136"/>
      <c r="V106" s="136"/>
      <c r="W106" s="136"/>
      <c r="X106" s="136"/>
      <c r="Y106" s="136"/>
      <c r="Z106" s="136"/>
    </row>
    <row r="107">
      <c r="A107" s="129"/>
      <c r="B107" s="129" t="s">
        <v>319</v>
      </c>
      <c r="C107" s="131" t="s">
        <v>7302</v>
      </c>
      <c r="D107" s="131" t="s">
        <v>40</v>
      </c>
      <c r="E107" s="238"/>
      <c r="F107" s="123">
        <f t="shared" si="1"/>
        <v>1</v>
      </c>
      <c r="G107" s="131"/>
      <c r="H107" s="12"/>
      <c r="I107" s="192"/>
      <c r="J107" s="131"/>
      <c r="K107" s="131"/>
      <c r="L107" s="131"/>
      <c r="M107" s="136"/>
      <c r="N107" s="238"/>
      <c r="O107" s="140" t="s">
        <v>7303</v>
      </c>
      <c r="P107" s="238"/>
      <c r="Q107" s="238"/>
      <c r="R107" s="232"/>
      <c r="S107" s="232"/>
      <c r="T107" s="136"/>
      <c r="U107" s="136"/>
      <c r="V107" s="136"/>
      <c r="W107" s="136"/>
      <c r="X107" s="136"/>
      <c r="Y107" s="136"/>
      <c r="Z107" s="136"/>
    </row>
    <row r="108">
      <c r="A108" s="129"/>
      <c r="B108" s="129" t="s">
        <v>319</v>
      </c>
      <c r="C108" s="131" t="s">
        <v>7304</v>
      </c>
      <c r="D108" s="131" t="s">
        <v>40</v>
      </c>
      <c r="E108" s="238"/>
      <c r="F108" s="123">
        <f t="shared" si="1"/>
        <v>1</v>
      </c>
      <c r="G108" s="131"/>
      <c r="H108" s="12"/>
      <c r="I108" s="192"/>
      <c r="J108" s="131"/>
      <c r="K108" s="131"/>
      <c r="L108" s="131"/>
      <c r="M108" s="136"/>
      <c r="N108" s="238"/>
      <c r="O108" s="140" t="s">
        <v>7305</v>
      </c>
      <c r="P108" s="238"/>
      <c r="Q108" s="238"/>
      <c r="R108" s="232"/>
      <c r="S108" s="232"/>
      <c r="T108" s="136"/>
      <c r="U108" s="136"/>
      <c r="V108" s="136"/>
      <c r="W108" s="136"/>
      <c r="X108" s="136"/>
      <c r="Y108" s="136"/>
      <c r="Z108" s="136"/>
    </row>
    <row r="109">
      <c r="A109" s="129"/>
      <c r="B109" s="129" t="s">
        <v>319</v>
      </c>
      <c r="C109" s="131" t="s">
        <v>376</v>
      </c>
      <c r="D109" s="131" t="s">
        <v>40</v>
      </c>
      <c r="E109" s="238" t="s">
        <v>377</v>
      </c>
      <c r="F109" s="123">
        <f t="shared" si="1"/>
        <v>3</v>
      </c>
      <c r="G109" s="131" t="s">
        <v>378</v>
      </c>
      <c r="H109" s="12"/>
      <c r="I109" s="192" t="str">
        <f>IFERROR(__xludf.DUMMYFUNCTION("regexreplace(lower(C109), ""_"", """")"),"uterinerupture")</f>
        <v>uterinerupture</v>
      </c>
      <c r="J109" s="131" t="b">
        <f t="shared" ref="J109:J115" si="11">exact(I109, K109)</f>
        <v>1</v>
      </c>
      <c r="K109" s="131" t="str">
        <f>IFERROR(__xludf.DUMMYFUNCTION("regexreplace(G109, ""_"", """")"),"uterinerupture")</f>
        <v>uterinerupture</v>
      </c>
      <c r="L10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""$1$2"")"),"uterine_rupture")</f>
        <v>uterine_rupture</v>
      </c>
      <c r="M109" s="136"/>
      <c r="N109" s="238"/>
      <c r="O109" s="140" t="s">
        <v>7306</v>
      </c>
      <c r="P109" s="238" t="s">
        <v>379</v>
      </c>
      <c r="Q109" s="238" t="s">
        <v>380</v>
      </c>
      <c r="R109" s="232"/>
      <c r="S109" s="232"/>
      <c r="T109" s="136"/>
      <c r="U109" s="136"/>
      <c r="V109" s="136"/>
      <c r="W109" s="136"/>
      <c r="X109" s="136"/>
      <c r="Y109" s="136"/>
      <c r="Z109" s="136"/>
    </row>
    <row r="110">
      <c r="A110" s="129"/>
      <c r="B110" s="129" t="s">
        <v>319</v>
      </c>
      <c r="C110" s="131" t="s">
        <v>381</v>
      </c>
      <c r="D110" s="131" t="s">
        <v>40</v>
      </c>
      <c r="E110" s="238" t="s">
        <v>382</v>
      </c>
      <c r="F110" s="123">
        <f t="shared" si="1"/>
        <v>4</v>
      </c>
      <c r="G110" s="131" t="s">
        <v>383</v>
      </c>
      <c r="H110" s="12"/>
      <c r="I110" s="192" t="str">
        <f>IFERROR(__xludf.DUMMYFUNCTION("regexreplace(lower(C110), ""_"", """")"),"shoulderdystocia")</f>
        <v>shoulderdystocia</v>
      </c>
      <c r="J110" s="131" t="b">
        <f t="shared" si="11"/>
        <v>1</v>
      </c>
      <c r="K110" s="131" t="str">
        <f>IFERROR(__xludf.DUMMYFUNCTION("regexreplace(G110, ""_"", """")"),"shoulderdystocia")</f>
        <v>shoulderdystocia</v>
      </c>
      <c r="L11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""$1$2"")"),"shoulder_dystocia")</f>
        <v>shoulder_dystocia</v>
      </c>
      <c r="M110" s="136"/>
      <c r="N110" s="231"/>
      <c r="O110" s="140" t="s">
        <v>7307</v>
      </c>
      <c r="P110" s="231" t="s">
        <v>384</v>
      </c>
      <c r="Q110" s="231" t="s">
        <v>385</v>
      </c>
      <c r="R110" s="238" t="s">
        <v>383</v>
      </c>
      <c r="S110" s="232"/>
      <c r="T110" s="136"/>
      <c r="U110" s="136"/>
      <c r="V110" s="136"/>
      <c r="W110" s="136"/>
      <c r="X110" s="136"/>
      <c r="Y110" s="136"/>
      <c r="Z110" s="136"/>
    </row>
    <row r="111">
      <c r="A111" s="129"/>
      <c r="B111" s="129" t="s">
        <v>319</v>
      </c>
      <c r="C111" s="131" t="s">
        <v>386</v>
      </c>
      <c r="D111" s="131" t="s">
        <v>40</v>
      </c>
      <c r="E111" s="238" t="s">
        <v>387</v>
      </c>
      <c r="F111" s="123">
        <f t="shared" si="1"/>
        <v>3</v>
      </c>
      <c r="G111" s="131" t="s">
        <v>388</v>
      </c>
      <c r="H111" s="12"/>
      <c r="I111" s="192" t="str">
        <f>IFERROR(__xludf.DUMMYFUNCTION("regexreplace(lower(C111), ""_"", """")"),"placentalproblem")</f>
        <v>placentalproblem</v>
      </c>
      <c r="J111" s="131" t="b">
        <f t="shared" si="11"/>
        <v>1</v>
      </c>
      <c r="K111" s="131" t="str">
        <f>IFERROR(__xludf.DUMMYFUNCTION("regexreplace(G111, ""_"", """")"),"placentalproblem")</f>
        <v>placentalproblem</v>
      </c>
      <c r="L11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""$1$2"")"),"placental_problem")</f>
        <v>placental_problem</v>
      </c>
      <c r="M111" s="136"/>
      <c r="N111" s="231"/>
      <c r="O111" s="140" t="s">
        <v>7308</v>
      </c>
      <c r="P111" s="231" t="s">
        <v>389</v>
      </c>
      <c r="Q111" s="231" t="s">
        <v>390</v>
      </c>
      <c r="R111" s="232"/>
      <c r="S111" s="232"/>
      <c r="T111" s="136"/>
      <c r="U111" s="136"/>
      <c r="V111" s="136"/>
      <c r="W111" s="136"/>
      <c r="X111" s="136"/>
      <c r="Y111" s="136"/>
      <c r="Z111" s="136"/>
    </row>
    <row r="112">
      <c r="A112" s="129"/>
      <c r="B112" s="129" t="s">
        <v>319</v>
      </c>
      <c r="C112" s="131" t="s">
        <v>391</v>
      </c>
      <c r="D112" s="131" t="s">
        <v>40</v>
      </c>
      <c r="E112" s="238" t="s">
        <v>392</v>
      </c>
      <c r="F112" s="123">
        <f t="shared" si="1"/>
        <v>2</v>
      </c>
      <c r="G112" s="131" t="s">
        <v>393</v>
      </c>
      <c r="H112" s="12"/>
      <c r="I112" s="192" t="str">
        <f>IFERROR(__xludf.DUMMYFUNCTION("regexreplace(lower(C112), ""_"", """")"),"maternalhemorrhage")</f>
        <v>maternalhemorrhage</v>
      </c>
      <c r="J112" s="131" t="b">
        <f t="shared" si="11"/>
        <v>1</v>
      </c>
      <c r="K112" s="131" t="str">
        <f>IFERROR(__xludf.DUMMYFUNCTION("regexreplace(G112, ""_"", """")"),"maternalhemorrhage")</f>
        <v>maternalhemorrhage</v>
      </c>
      <c r="L11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""$1$2"")"),"maternal_hemorrhage")</f>
        <v>maternal_hemorrhage</v>
      </c>
      <c r="M112" s="136"/>
      <c r="N112" s="231"/>
      <c r="O112" s="136"/>
      <c r="P112" s="231" t="s">
        <v>394</v>
      </c>
      <c r="Q112" s="231" t="s">
        <v>395</v>
      </c>
      <c r="R112" s="232"/>
      <c r="S112" s="232"/>
      <c r="T112" s="136"/>
      <c r="U112" s="136"/>
      <c r="V112" s="136"/>
      <c r="W112" s="136"/>
      <c r="X112" s="136"/>
      <c r="Y112" s="136"/>
      <c r="Z112" s="136"/>
    </row>
    <row r="113">
      <c r="A113" s="129"/>
      <c r="B113" s="129" t="s">
        <v>319</v>
      </c>
      <c r="C113" s="131" t="s">
        <v>396</v>
      </c>
      <c r="D113" s="131" t="s">
        <v>40</v>
      </c>
      <c r="E113" s="238" t="s">
        <v>397</v>
      </c>
      <c r="F113" s="123">
        <f t="shared" si="1"/>
        <v>2</v>
      </c>
      <c r="G113" s="131" t="s">
        <v>398</v>
      </c>
      <c r="H113" s="12"/>
      <c r="I113" s="192" t="str">
        <f>IFERROR(__xludf.DUMMYFUNCTION("regexreplace(lower(C113), ""_"", """")"),"maternaltrauma")</f>
        <v>maternaltrauma</v>
      </c>
      <c r="J113" s="131" t="b">
        <f t="shared" si="11"/>
        <v>1</v>
      </c>
      <c r="K113" s="131" t="str">
        <f>IFERROR(__xludf.DUMMYFUNCTION("regexreplace(G113, ""_"", """")"),"maternaltrauma")</f>
        <v>maternaltrauma</v>
      </c>
      <c r="L11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""$1$2"")"),"maternal_trauma")</f>
        <v>maternal_trauma</v>
      </c>
      <c r="M113" s="136"/>
      <c r="N113" s="231"/>
      <c r="O113" s="136"/>
      <c r="P113" s="231" t="s">
        <v>399</v>
      </c>
      <c r="Q113" s="231" t="s">
        <v>400</v>
      </c>
      <c r="R113" s="232"/>
      <c r="S113" s="232"/>
      <c r="T113" s="136"/>
      <c r="U113" s="136"/>
      <c r="V113" s="136"/>
      <c r="W113" s="136"/>
      <c r="X113" s="136"/>
      <c r="Y113" s="136"/>
      <c r="Z113" s="136"/>
    </row>
    <row r="114">
      <c r="A114" s="129"/>
      <c r="B114" s="129" t="s">
        <v>319</v>
      </c>
      <c r="C114" s="131" t="s">
        <v>401</v>
      </c>
      <c r="D114" s="131" t="s">
        <v>40</v>
      </c>
      <c r="E114" s="238" t="s">
        <v>402</v>
      </c>
      <c r="F114" s="123">
        <f t="shared" si="1"/>
        <v>2</v>
      </c>
      <c r="G114" s="131" t="s">
        <v>403</v>
      </c>
      <c r="H114" s="12"/>
      <c r="I114" s="192" t="str">
        <f>IFERROR(__xludf.DUMMYFUNCTION("regexreplace(lower(C114), ""_"", """")"),"maternalcardiorespiratoryarrest")</f>
        <v>maternalcardiorespiratoryarrest</v>
      </c>
      <c r="J114" s="131" t="b">
        <f t="shared" si="11"/>
        <v>1</v>
      </c>
      <c r="K114" s="131" t="str">
        <f>IFERROR(__xludf.DUMMYFUNCTION("regexreplace(G114, ""_"", """")"),"maternalcardiorespiratoryarrest")</f>
        <v>maternalcardiorespiratoryarrest</v>
      </c>
      <c r="L11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""$1$2"")"),"maternal_cardio_respiratory_arrest")</f>
        <v>maternal_cardio_respiratory_arrest</v>
      </c>
      <c r="M114" s="136"/>
      <c r="N114" s="231"/>
      <c r="O114" s="136"/>
      <c r="P114" s="231" t="s">
        <v>404</v>
      </c>
      <c r="Q114" s="231" t="s">
        <v>405</v>
      </c>
      <c r="R114" s="232"/>
      <c r="S114" s="232"/>
      <c r="T114" s="136"/>
      <c r="U114" s="136"/>
      <c r="V114" s="136"/>
      <c r="W114" s="136"/>
      <c r="X114" s="136"/>
      <c r="Y114" s="136"/>
      <c r="Z114" s="136"/>
    </row>
    <row r="115">
      <c r="A115" s="129"/>
      <c r="B115" s="129" t="s">
        <v>319</v>
      </c>
      <c r="C115" s="131" t="s">
        <v>406</v>
      </c>
      <c r="D115" s="131" t="s">
        <v>40</v>
      </c>
      <c r="E115" s="238" t="s">
        <v>407</v>
      </c>
      <c r="F115" s="123">
        <f t="shared" si="1"/>
        <v>2</v>
      </c>
      <c r="G115" s="131" t="s">
        <v>408</v>
      </c>
      <c r="H115" s="12"/>
      <c r="I115" s="192" t="str">
        <f>IFERROR(__xludf.DUMMYFUNCTION("regexreplace(lower(C115), ""_"", """")"),"maternalseizure")</f>
        <v>maternalseizure</v>
      </c>
      <c r="J115" s="131" t="b">
        <f t="shared" si="11"/>
        <v>1</v>
      </c>
      <c r="K115" s="131" t="str">
        <f>IFERROR(__xludf.DUMMYFUNCTION("regexreplace(G115, ""_"", """")"),"maternalseizure")</f>
        <v>maternalseizure</v>
      </c>
      <c r="L11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""$1$2"")"),"maternal_seizure")</f>
        <v>maternal_seizure</v>
      </c>
      <c r="M115" s="136"/>
      <c r="N115" s="231"/>
      <c r="O115" s="136"/>
      <c r="P115" s="231" t="s">
        <v>409</v>
      </c>
      <c r="Q115" s="231" t="s">
        <v>410</v>
      </c>
      <c r="R115" s="232"/>
      <c r="S115" s="232"/>
      <c r="T115" s="136"/>
      <c r="U115" s="136"/>
      <c r="V115" s="136"/>
      <c r="W115" s="136"/>
      <c r="X115" s="136"/>
      <c r="Y115" s="136"/>
      <c r="Z115" s="136"/>
    </row>
    <row r="116">
      <c r="A116" s="129"/>
      <c r="B116" s="129" t="s">
        <v>319</v>
      </c>
      <c r="C116" s="131" t="s">
        <v>5617</v>
      </c>
      <c r="D116" s="131" t="s">
        <v>40</v>
      </c>
      <c r="E116" s="238" t="s">
        <v>7309</v>
      </c>
      <c r="F116" s="123">
        <f t="shared" si="1"/>
        <v>1</v>
      </c>
      <c r="G116" s="131"/>
      <c r="H116" s="12"/>
      <c r="I116" s="192"/>
      <c r="J116" s="131"/>
      <c r="K116" s="131"/>
      <c r="L116" s="131"/>
      <c r="M116" s="136"/>
      <c r="N116" s="231"/>
      <c r="O116" s="140" t="s">
        <v>7310</v>
      </c>
      <c r="P116" s="231"/>
      <c r="Q116" s="231"/>
      <c r="R116" s="232"/>
      <c r="S116" s="236"/>
      <c r="T116" s="136"/>
      <c r="U116" s="136"/>
      <c r="V116" s="136"/>
      <c r="W116" s="136"/>
      <c r="X116" s="136"/>
      <c r="Y116" s="136"/>
      <c r="Z116" s="136"/>
    </row>
    <row r="117">
      <c r="A117" s="129"/>
      <c r="B117" s="129" t="s">
        <v>319</v>
      </c>
      <c r="C117" s="131" t="s">
        <v>7311</v>
      </c>
      <c r="D117" s="131" t="s">
        <v>40</v>
      </c>
      <c r="E117" s="238" t="s">
        <v>7312</v>
      </c>
      <c r="F117" s="123">
        <f t="shared" si="1"/>
        <v>1</v>
      </c>
      <c r="G117" s="131"/>
      <c r="H117" s="12"/>
      <c r="I117" s="192"/>
      <c r="J117" s="131"/>
      <c r="K117" s="131"/>
      <c r="L117" s="131"/>
      <c r="M117" s="136"/>
      <c r="N117" s="231"/>
      <c r="O117" s="140" t="s">
        <v>7313</v>
      </c>
      <c r="P117" s="231"/>
      <c r="Q117" s="231"/>
      <c r="R117" s="232"/>
      <c r="S117" s="236"/>
      <c r="T117" s="136"/>
      <c r="U117" s="136"/>
      <c r="V117" s="136"/>
      <c r="W117" s="136"/>
      <c r="X117" s="136"/>
      <c r="Y117" s="136"/>
      <c r="Z117" s="136"/>
    </row>
    <row r="118">
      <c r="A118" s="129"/>
      <c r="B118" s="129" t="s">
        <v>319</v>
      </c>
      <c r="C118" s="131" t="s">
        <v>411</v>
      </c>
      <c r="D118" s="131" t="s">
        <v>40</v>
      </c>
      <c r="E118" s="238" t="s">
        <v>412</v>
      </c>
      <c r="F118" s="123">
        <f t="shared" si="1"/>
        <v>4</v>
      </c>
      <c r="G118" s="131" t="s">
        <v>413</v>
      </c>
      <c r="H118" s="12"/>
      <c r="I118" s="192" t="str">
        <f>IFERROR(__xludf.DUMMYFUNCTION("regexreplace(lower(C118), ""_"", """")"),"pyrexiaover37p6c")</f>
        <v>pyrexiaover37p6c</v>
      </c>
      <c r="J118" s="131" t="b">
        <f t="shared" ref="J118:J130" si="12">exact(I118, K118)</f>
        <v>1</v>
      </c>
      <c r="K118" s="131" t="str">
        <f>IFERROR(__xludf.DUMMYFUNCTION("regexreplace(G118, ""_"", """")"),"pyrexiaover37p6c")</f>
        <v>pyrexiaover37p6c</v>
      </c>
      <c r="L11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""$1$2"")"),"pyrexia_over37p6c")</f>
        <v>pyrexia_over37p6c</v>
      </c>
      <c r="M118" s="136"/>
      <c r="N118" s="231"/>
      <c r="O118" s="140" t="s">
        <v>7314</v>
      </c>
      <c r="P118" s="231" t="s">
        <v>414</v>
      </c>
      <c r="Q118" s="231" t="s">
        <v>415</v>
      </c>
      <c r="R118" s="232"/>
      <c r="S118" s="236" t="s">
        <v>7315</v>
      </c>
      <c r="T118" s="136"/>
      <c r="U118" s="136"/>
      <c r="V118" s="136"/>
      <c r="W118" s="136"/>
      <c r="X118" s="136"/>
      <c r="Y118" s="136"/>
      <c r="Z118" s="136"/>
    </row>
    <row r="119">
      <c r="A119" s="129"/>
      <c r="B119" s="129" t="s">
        <v>319</v>
      </c>
      <c r="C119" s="131" t="s">
        <v>416</v>
      </c>
      <c r="D119" s="131" t="s">
        <v>40</v>
      </c>
      <c r="E119" s="238" t="s">
        <v>417</v>
      </c>
      <c r="F119" s="123">
        <f t="shared" si="1"/>
        <v>5</v>
      </c>
      <c r="G119" s="131" t="s">
        <v>416</v>
      </c>
      <c r="H119" s="12"/>
      <c r="I119" s="192" t="str">
        <f>IFERROR(__xludf.DUMMYFUNCTION("regexreplace(lower(C119), ""_"", """")"),"chorioamnionitis")</f>
        <v>chorioamnionitis</v>
      </c>
      <c r="J119" s="131" t="b">
        <f t="shared" si="12"/>
        <v>1</v>
      </c>
      <c r="K119" s="131" t="str">
        <f>IFERROR(__xludf.DUMMYFUNCTION("regexreplace(G119, ""_"", """")"),"chorioamnionitis")</f>
        <v>chorioamnionitis</v>
      </c>
      <c r="L11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""$1$2"")"),"chorioamnionitis")</f>
        <v>chorioamnionitis</v>
      </c>
      <c r="M119" s="136"/>
      <c r="N119" s="231"/>
      <c r="O119" s="140" t="s">
        <v>7316</v>
      </c>
      <c r="P119" s="231" t="s">
        <v>418</v>
      </c>
      <c r="Q119" s="231" t="s">
        <v>419</v>
      </c>
      <c r="R119" s="238" t="s">
        <v>416</v>
      </c>
      <c r="S119" s="236" t="s">
        <v>416</v>
      </c>
      <c r="T119" s="136"/>
      <c r="U119" s="136"/>
      <c r="V119" s="136"/>
      <c r="W119" s="136"/>
      <c r="X119" s="136"/>
      <c r="Y119" s="136"/>
      <c r="Z119" s="136"/>
    </row>
    <row r="120">
      <c r="A120" s="129"/>
      <c r="B120" s="129" t="s">
        <v>319</v>
      </c>
      <c r="C120" s="131" t="s">
        <v>420</v>
      </c>
      <c r="D120" s="131" t="s">
        <v>40</v>
      </c>
      <c r="E120" s="238" t="s">
        <v>421</v>
      </c>
      <c r="F120" s="123">
        <f t="shared" si="1"/>
        <v>3</v>
      </c>
      <c r="G120" s="131" t="s">
        <v>422</v>
      </c>
      <c r="H120" s="12"/>
      <c r="I120" s="192" t="str">
        <f>IFERROR(__xludf.DUMMYFUNCTION("regexreplace(lower(C120), ""_"", """")"),"placentalpathologyperformed")</f>
        <v>placentalpathologyperformed</v>
      </c>
      <c r="J120" s="131" t="b">
        <f t="shared" si="12"/>
        <v>1</v>
      </c>
      <c r="K120" s="131" t="str">
        <f>IFERROR(__xludf.DUMMYFUNCTION("regexreplace(G120, ""_"", """")"),"placentalpathologyperformed")</f>
        <v>placentalpathologyperformed</v>
      </c>
      <c r="L12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""$1$2"")"),"placental_pathology_performed")</f>
        <v>placental_pathology_performed</v>
      </c>
      <c r="M120" s="136"/>
      <c r="N120" s="231"/>
      <c r="O120" s="136"/>
      <c r="P120" s="231" t="s">
        <v>423</v>
      </c>
      <c r="Q120" s="231" t="s">
        <v>424</v>
      </c>
      <c r="R120" s="232"/>
      <c r="S120" s="238" t="s">
        <v>7317</v>
      </c>
      <c r="T120" s="136"/>
      <c r="U120" s="136"/>
      <c r="V120" s="136"/>
      <c r="W120" s="136"/>
      <c r="X120" s="136"/>
      <c r="Y120" s="136"/>
      <c r="Z120" s="136"/>
    </row>
    <row r="121">
      <c r="A121" s="129"/>
      <c r="B121" s="129" t="s">
        <v>319</v>
      </c>
      <c r="C121" s="131" t="s">
        <v>425</v>
      </c>
      <c r="D121" s="131" t="s">
        <v>40</v>
      </c>
      <c r="E121" s="238" t="s">
        <v>426</v>
      </c>
      <c r="F121" s="123">
        <f t="shared" si="1"/>
        <v>2</v>
      </c>
      <c r="G121" s="131" t="s">
        <v>427</v>
      </c>
      <c r="H121" s="12"/>
      <c r="I121" s="192" t="str">
        <f>IFERROR(__xludf.DUMMYFUNCTION("regexreplace(lower(C121), ""_"", """")"),"histologicchorioamionitis")</f>
        <v>histologicchorioamionitis</v>
      </c>
      <c r="J121" s="131" t="b">
        <f t="shared" si="12"/>
        <v>1</v>
      </c>
      <c r="K121" s="131" t="str">
        <f>IFERROR(__xludf.DUMMYFUNCTION("regexreplace(G121, ""_"", """")"),"histologicchorioamionitis")</f>
        <v>histologicchorioamionitis</v>
      </c>
      <c r="L121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""$1$2"")"),"histologic_chorioamionitis")</f>
        <v>histologic_chorioamionitis</v>
      </c>
      <c r="M121" s="136"/>
      <c r="N121" s="231"/>
      <c r="O121" s="136"/>
      <c r="P121" s="231" t="s">
        <v>428</v>
      </c>
      <c r="Q121" s="231" t="s">
        <v>429</v>
      </c>
      <c r="R121" s="232"/>
      <c r="S121" s="232"/>
      <c r="T121" s="136"/>
      <c r="U121" s="136"/>
      <c r="V121" s="136"/>
      <c r="W121" s="136"/>
      <c r="X121" s="136"/>
      <c r="Y121" s="136"/>
      <c r="Z121" s="136"/>
    </row>
    <row r="122">
      <c r="A122" s="129"/>
      <c r="B122" s="129" t="s">
        <v>319</v>
      </c>
      <c r="C122" s="233" t="s">
        <v>7318</v>
      </c>
      <c r="D122" s="233" t="s">
        <v>16</v>
      </c>
      <c r="E122" s="236" t="s">
        <v>7319</v>
      </c>
      <c r="F122" s="123">
        <f t="shared" si="1"/>
        <v>1</v>
      </c>
      <c r="G122" s="131" t="s">
        <v>7320</v>
      </c>
      <c r="H122" s="226"/>
      <c r="I122" s="192" t="str">
        <f>IFERROR(__xludf.DUMMYFUNCTION("regexreplace(lower(C122), ""_"", """")"),"otherchorioamnionitistext")</f>
        <v>otherchorioamnionitistext</v>
      </c>
      <c r="J122" s="131" t="b">
        <f t="shared" si="12"/>
        <v>1</v>
      </c>
      <c r="K122" s="131" t="str">
        <f>IFERROR(__xludf.DUMMYFUNCTION("regexreplace(G122, ""_"", """")"),"otherchorioamnionitistext")</f>
        <v>otherchorioamnionitistext</v>
      </c>
      <c r="L12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""$1$2"")"),"other_chorioamnionitis_text")</f>
        <v>other_chorioamnionitis_text</v>
      </c>
      <c r="M122" s="136"/>
      <c r="N122" s="231"/>
      <c r="O122" s="136"/>
      <c r="P122" s="231"/>
      <c r="Q122" s="231"/>
      <c r="R122" s="239"/>
      <c r="S122" s="236" t="s">
        <v>7321</v>
      </c>
      <c r="T122" s="136"/>
      <c r="U122" s="136"/>
      <c r="V122" s="136"/>
      <c r="W122" s="136"/>
      <c r="X122" s="136"/>
      <c r="Y122" s="136"/>
      <c r="Z122" s="136"/>
    </row>
    <row r="123">
      <c r="A123" s="129"/>
      <c r="B123" s="129" t="s">
        <v>319</v>
      </c>
      <c r="C123" s="131" t="s">
        <v>430</v>
      </c>
      <c r="D123" s="131" t="s">
        <v>40</v>
      </c>
      <c r="E123" s="238" t="s">
        <v>431</v>
      </c>
      <c r="F123" s="123">
        <f t="shared" si="1"/>
        <v>2</v>
      </c>
      <c r="G123" s="131" t="s">
        <v>432</v>
      </c>
      <c r="H123" s="12"/>
      <c r="I123" s="192" t="str">
        <f>IFERROR(__xludf.DUMMYFUNCTION("regexreplace(lower(C123), ""_"", """")"),"laborantibiotics")</f>
        <v>laborantibiotics</v>
      </c>
      <c r="J123" s="131" t="b">
        <f t="shared" si="12"/>
        <v>1</v>
      </c>
      <c r="K123" s="131" t="str">
        <f>IFERROR(__xludf.DUMMYFUNCTION("regexreplace(G123, ""_"", """")"),"laborantibiotics")</f>
        <v>laborantibiotics</v>
      </c>
      <c r="L12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""$1$2"")"),"labor_antibiotics")</f>
        <v>labor_antibiotics</v>
      </c>
      <c r="M123" s="136"/>
      <c r="N123" s="238"/>
      <c r="O123" s="136"/>
      <c r="P123" s="238" t="s">
        <v>433</v>
      </c>
      <c r="Q123" s="238" t="s">
        <v>434</v>
      </c>
      <c r="R123" s="232"/>
      <c r="S123" s="232"/>
      <c r="T123" s="136"/>
      <c r="U123" s="136"/>
      <c r="V123" s="136"/>
      <c r="W123" s="136"/>
      <c r="X123" s="136"/>
      <c r="Y123" s="136"/>
      <c r="Z123" s="136"/>
    </row>
    <row r="124">
      <c r="A124" s="129"/>
      <c r="B124" s="129" t="s">
        <v>319</v>
      </c>
      <c r="C124" s="131" t="s">
        <v>435</v>
      </c>
      <c r="D124" s="131" t="s">
        <v>436</v>
      </c>
      <c r="E124" s="230" t="s">
        <v>437</v>
      </c>
      <c r="F124" s="123">
        <f t="shared" si="1"/>
        <v>2</v>
      </c>
      <c r="G124" s="131" t="s">
        <v>438</v>
      </c>
      <c r="H124" s="12"/>
      <c r="I124" s="192" t="str">
        <f>IFERROR(__xludf.DUMMYFUNCTION("regexreplace(lower(C124), ""_"", """")"),"laborantibioticscode1")</f>
        <v>laborantibioticscode1</v>
      </c>
      <c r="J124" s="131" t="b">
        <f t="shared" si="12"/>
        <v>1</v>
      </c>
      <c r="K124" s="131" t="str">
        <f>IFERROR(__xludf.DUMMYFUNCTION("regexreplace(G124, ""_"", """")"),"laborantibioticscode1")</f>
        <v>laborantibioticscode1</v>
      </c>
      <c r="L12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""$1$2"")"),"labor_antibiotics_code1")</f>
        <v>labor_antibiotics_code1</v>
      </c>
      <c r="M124" s="136"/>
      <c r="N124" s="231"/>
      <c r="O124" s="136"/>
      <c r="P124" s="231" t="s">
        <v>439</v>
      </c>
      <c r="Q124" s="231" t="s">
        <v>440</v>
      </c>
      <c r="R124" s="232"/>
      <c r="S124" s="232"/>
      <c r="T124" s="136"/>
      <c r="U124" s="136"/>
      <c r="V124" s="136"/>
      <c r="W124" s="136"/>
      <c r="X124" s="136"/>
      <c r="Y124" s="136"/>
      <c r="Z124" s="136"/>
    </row>
    <row r="125">
      <c r="A125" s="129"/>
      <c r="B125" s="129" t="s">
        <v>319</v>
      </c>
      <c r="C125" s="131" t="s">
        <v>441</v>
      </c>
      <c r="D125" s="131" t="s">
        <v>436</v>
      </c>
      <c r="E125" s="230" t="s">
        <v>442</v>
      </c>
      <c r="F125" s="123">
        <f t="shared" si="1"/>
        <v>2</v>
      </c>
      <c r="G125" s="131" t="s">
        <v>443</v>
      </c>
      <c r="H125" s="12"/>
      <c r="I125" s="192" t="str">
        <f>IFERROR(__xludf.DUMMYFUNCTION("regexreplace(lower(C125), ""_"", """")"),"laborantibioticscode2")</f>
        <v>laborantibioticscode2</v>
      </c>
      <c r="J125" s="131" t="b">
        <f t="shared" si="12"/>
        <v>1</v>
      </c>
      <c r="K125" s="131" t="str">
        <f>IFERROR(__xludf.DUMMYFUNCTION("regexreplace(G125, ""_"", """")"),"laborantibioticscode2")</f>
        <v>laborantibioticscode2</v>
      </c>
      <c r="L12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""$1$2"")"),"labor_antibiotics_code2")</f>
        <v>labor_antibiotics_code2</v>
      </c>
      <c r="M125" s="136"/>
      <c r="N125" s="231"/>
      <c r="O125" s="136"/>
      <c r="P125" s="231" t="s">
        <v>444</v>
      </c>
      <c r="Q125" s="231" t="s">
        <v>445</v>
      </c>
      <c r="R125" s="232"/>
      <c r="S125" s="232"/>
      <c r="T125" s="136"/>
      <c r="U125" s="136"/>
      <c r="V125" s="136"/>
      <c r="W125" s="136"/>
      <c r="X125" s="136"/>
      <c r="Y125" s="136"/>
      <c r="Z125" s="136"/>
    </row>
    <row r="126">
      <c r="A126" s="129"/>
      <c r="B126" s="129" t="s">
        <v>319</v>
      </c>
      <c r="C126" s="131" t="s">
        <v>446</v>
      </c>
      <c r="D126" s="131" t="s">
        <v>436</v>
      </c>
      <c r="E126" s="230" t="s">
        <v>447</v>
      </c>
      <c r="F126" s="123">
        <f t="shared" si="1"/>
        <v>2</v>
      </c>
      <c r="G126" s="131" t="s">
        <v>448</v>
      </c>
      <c r="H126" s="12"/>
      <c r="I126" s="192" t="str">
        <f>IFERROR(__xludf.DUMMYFUNCTION("regexreplace(lower(C126), ""_"", """")"),"laborantibioticscode3")</f>
        <v>laborantibioticscode3</v>
      </c>
      <c r="J126" s="131" t="b">
        <f t="shared" si="12"/>
        <v>1</v>
      </c>
      <c r="K126" s="131" t="str">
        <f>IFERROR(__xludf.DUMMYFUNCTION("regexreplace(G126, ""_"", """")"),"laborantibioticscode3")</f>
        <v>laborantibioticscode3</v>
      </c>
      <c r="L12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""$1$2"")"),"labor_antibiotics_code3")</f>
        <v>labor_antibiotics_code3</v>
      </c>
      <c r="M126" s="136"/>
      <c r="N126" s="231"/>
      <c r="O126" s="136"/>
      <c r="P126" s="231" t="s">
        <v>449</v>
      </c>
      <c r="Q126" s="231" t="s">
        <v>450</v>
      </c>
      <c r="R126" s="232"/>
      <c r="S126" s="232"/>
      <c r="T126" s="136"/>
      <c r="U126" s="136"/>
      <c r="V126" s="136"/>
      <c r="W126" s="136"/>
      <c r="X126" s="136"/>
      <c r="Y126" s="136"/>
      <c r="Z126" s="136"/>
    </row>
    <row r="127">
      <c r="A127" s="129"/>
      <c r="B127" s="129" t="s">
        <v>319</v>
      </c>
      <c r="C127" s="131" t="s">
        <v>451</v>
      </c>
      <c r="D127" s="131" t="s">
        <v>436</v>
      </c>
      <c r="E127" s="230" t="s">
        <v>452</v>
      </c>
      <c r="F127" s="123">
        <f t="shared" si="1"/>
        <v>1</v>
      </c>
      <c r="G127" s="131" t="s">
        <v>453</v>
      </c>
      <c r="H127" s="12"/>
      <c r="I127" s="192" t="str">
        <f>IFERROR(__xludf.DUMMYFUNCTION("regexreplace(lower(C127), ""_"", """")"),"laborantibioticscode4")</f>
        <v>laborantibioticscode4</v>
      </c>
      <c r="J127" s="131" t="b">
        <f t="shared" si="12"/>
        <v>1</v>
      </c>
      <c r="K127" s="131" t="str">
        <f>IFERROR(__xludf.DUMMYFUNCTION("regexreplace(G127, ""_"", """")"),"laborantibioticscode4")</f>
        <v>laborantibioticscode4</v>
      </c>
      <c r="L12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""$1$2"")"),"labor_antibiotics_code4")</f>
        <v>labor_antibiotics_code4</v>
      </c>
      <c r="M127" s="136"/>
      <c r="N127" s="237"/>
      <c r="O127" s="136"/>
      <c r="P127" s="237"/>
      <c r="Q127" s="238" t="s">
        <v>454</v>
      </c>
      <c r="R127" s="232"/>
      <c r="S127" s="232"/>
      <c r="T127" s="136"/>
      <c r="U127" s="136"/>
      <c r="V127" s="136"/>
      <c r="W127" s="136"/>
      <c r="X127" s="136"/>
      <c r="Y127" s="136"/>
      <c r="Z127" s="136"/>
    </row>
    <row r="128">
      <c r="A128" s="129"/>
      <c r="B128" s="129" t="s">
        <v>319</v>
      </c>
      <c r="C128" s="131" t="s">
        <v>455</v>
      </c>
      <c r="D128" s="131" t="s">
        <v>436</v>
      </c>
      <c r="E128" s="230" t="s">
        <v>456</v>
      </c>
      <c r="F128" s="123">
        <f t="shared" si="1"/>
        <v>1</v>
      </c>
      <c r="G128" s="131" t="s">
        <v>457</v>
      </c>
      <c r="H128" s="12"/>
      <c r="I128" s="192" t="str">
        <f>IFERROR(__xludf.DUMMYFUNCTION("regexreplace(lower(C128), ""_"", """")"),"laborantibioticscode5")</f>
        <v>laborantibioticscode5</v>
      </c>
      <c r="J128" s="131" t="b">
        <f t="shared" si="12"/>
        <v>1</v>
      </c>
      <c r="K128" s="131" t="str">
        <f>IFERROR(__xludf.DUMMYFUNCTION("regexreplace(G128, ""_"", """")"),"laborantibioticscode5")</f>
        <v>laborantibioticscode5</v>
      </c>
      <c r="L128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""$1$2"")"),"labor_antibiotics_code5")</f>
        <v>labor_antibiotics_code5</v>
      </c>
      <c r="M128" s="136"/>
      <c r="N128" s="237"/>
      <c r="O128" s="136"/>
      <c r="P128" s="237"/>
      <c r="Q128" s="238" t="s">
        <v>458</v>
      </c>
      <c r="R128" s="232"/>
      <c r="S128" s="232"/>
      <c r="T128" s="136"/>
      <c r="U128" s="136"/>
      <c r="V128" s="136"/>
      <c r="W128" s="136"/>
      <c r="X128" s="136"/>
      <c r="Y128" s="136"/>
      <c r="Z128" s="136"/>
    </row>
    <row r="129">
      <c r="A129" s="129"/>
      <c r="B129" s="129" t="s">
        <v>319</v>
      </c>
      <c r="C129" s="131" t="s">
        <v>459</v>
      </c>
      <c r="D129" s="131" t="s">
        <v>436</v>
      </c>
      <c r="E129" s="230" t="s">
        <v>460</v>
      </c>
      <c r="F129" s="123">
        <f t="shared" si="1"/>
        <v>1</v>
      </c>
      <c r="G129" s="131" t="s">
        <v>461</v>
      </c>
      <c r="H129" s="12"/>
      <c r="I129" s="192" t="str">
        <f>IFERROR(__xludf.DUMMYFUNCTION("regexreplace(lower(C129), ""_"", """")"),"laborantibioticscode6")</f>
        <v>laborantibioticscode6</v>
      </c>
      <c r="J129" s="131" t="b">
        <f t="shared" si="12"/>
        <v>1</v>
      </c>
      <c r="K129" s="131" t="str">
        <f>IFERROR(__xludf.DUMMYFUNCTION("regexreplace(G129, ""_"", """")"),"laborantibioticscode6")</f>
        <v>laborantibioticscode6</v>
      </c>
      <c r="L129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""$1$2"")"),"labor_antibiotics_code6")</f>
        <v>labor_antibiotics_code6</v>
      </c>
      <c r="M129" s="136"/>
      <c r="N129" s="237"/>
      <c r="O129" s="136"/>
      <c r="P129" s="237"/>
      <c r="Q129" s="238" t="s">
        <v>462</v>
      </c>
      <c r="R129" s="232"/>
      <c r="S129" s="232"/>
      <c r="T129" s="136"/>
      <c r="U129" s="136"/>
      <c r="V129" s="136"/>
      <c r="W129" s="136"/>
      <c r="X129" s="136"/>
      <c r="Y129" s="136"/>
      <c r="Z129" s="136"/>
    </row>
    <row r="130">
      <c r="A130" s="129"/>
      <c r="B130" s="129" t="s">
        <v>319</v>
      </c>
      <c r="C130" s="233" t="s">
        <v>7322</v>
      </c>
      <c r="D130" s="233" t="s">
        <v>16</v>
      </c>
      <c r="E130" s="236" t="s">
        <v>7323</v>
      </c>
      <c r="F130" s="123">
        <f t="shared" si="1"/>
        <v>1</v>
      </c>
      <c r="G130" s="131" t="s">
        <v>7324</v>
      </c>
      <c r="H130" s="226"/>
      <c r="I130" s="192" t="str">
        <f>IFERROR(__xludf.DUMMYFUNCTION("regexreplace(lower(C130), ""_"", """")"),"deliverycesareantype")</f>
        <v>deliverycesareantype</v>
      </c>
      <c r="J130" s="131" t="b">
        <f t="shared" si="12"/>
        <v>1</v>
      </c>
      <c r="K130" s="131" t="str">
        <f>IFERROR(__xludf.DUMMYFUNCTION("regexreplace(G130, ""_"", """")"),"deliverycesareantype")</f>
        <v>deliverycesareantype</v>
      </c>
      <c r="L130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""$1$2"")"),"delivery_cesarean_type")</f>
        <v>delivery_cesarean_type</v>
      </c>
      <c r="M130" s="136"/>
      <c r="N130" s="231"/>
      <c r="O130" s="136"/>
      <c r="P130" s="231"/>
      <c r="Q130" s="231"/>
      <c r="R130" s="239"/>
      <c r="S130" s="236" t="s">
        <v>7325</v>
      </c>
      <c r="T130" s="136"/>
      <c r="U130" s="136"/>
      <c r="V130" s="136"/>
      <c r="W130" s="136"/>
      <c r="X130" s="136"/>
      <c r="Y130" s="136"/>
      <c r="Z130" s="136"/>
    </row>
    <row r="131">
      <c r="A131" s="129"/>
      <c r="B131" s="129" t="s">
        <v>319</v>
      </c>
      <c r="C131" s="233" t="s">
        <v>7326</v>
      </c>
      <c r="D131" s="233" t="s">
        <v>40</v>
      </c>
      <c r="E131" s="236" t="s">
        <v>7327</v>
      </c>
      <c r="F131" s="123">
        <f t="shared" si="1"/>
        <v>1</v>
      </c>
      <c r="G131" s="131"/>
      <c r="H131" s="226"/>
      <c r="I131" s="192"/>
      <c r="J131" s="131"/>
      <c r="K131" s="131"/>
      <c r="L131" s="131"/>
      <c r="M131" s="136"/>
      <c r="N131" s="231"/>
      <c r="O131" s="136"/>
      <c r="P131" s="231"/>
      <c r="Q131" s="231"/>
      <c r="R131" s="236" t="s">
        <v>7328</v>
      </c>
      <c r="S131" s="236"/>
      <c r="T131" s="136"/>
      <c r="U131" s="136"/>
      <c r="V131" s="136"/>
      <c r="W131" s="136"/>
      <c r="X131" s="136"/>
      <c r="Y131" s="136"/>
      <c r="Z131" s="136"/>
    </row>
    <row r="132">
      <c r="A132" s="129"/>
      <c r="B132" s="129" t="s">
        <v>319</v>
      </c>
      <c r="C132" s="233" t="s">
        <v>7329</v>
      </c>
      <c r="D132" s="233" t="s">
        <v>16</v>
      </c>
      <c r="E132" s="236" t="s">
        <v>7330</v>
      </c>
      <c r="F132" s="123">
        <f t="shared" si="1"/>
        <v>1</v>
      </c>
      <c r="G132" s="131" t="s">
        <v>7331</v>
      </c>
      <c r="H132" s="226"/>
      <c r="I132" s="192" t="str">
        <f>IFERROR(__xludf.DUMMYFUNCTION("regexreplace(lower(C132), ""_"", """")"),"deliverycesareantypeothertext")</f>
        <v>deliverycesareantypeothertext</v>
      </c>
      <c r="J132" s="131" t="b">
        <f t="shared" ref="J132:J137" si="13">exact(I132, K132)</f>
        <v>1</v>
      </c>
      <c r="K132" s="131" t="str">
        <f>IFERROR(__xludf.DUMMYFUNCTION("regexreplace(G132, ""_"", """")"),"deliverycesareantypeothertext")</f>
        <v>deliverycesareantypeothertext</v>
      </c>
      <c r="L132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""$1$2"")"),"delivery_cesarean_type_other_text")</f>
        <v>delivery_cesarean_type_other_text</v>
      </c>
      <c r="M132" s="136"/>
      <c r="N132" s="231"/>
      <c r="O132" s="136"/>
      <c r="P132" s="231"/>
      <c r="Q132" s="231"/>
      <c r="R132" s="239"/>
      <c r="S132" s="236" t="s">
        <v>7332</v>
      </c>
      <c r="T132" s="136"/>
      <c r="U132" s="136"/>
      <c r="V132" s="136"/>
      <c r="W132" s="136"/>
      <c r="X132" s="136"/>
      <c r="Y132" s="136"/>
      <c r="Z132" s="136"/>
    </row>
    <row r="133">
      <c r="A133" s="129"/>
      <c r="B133" s="129" t="s">
        <v>319</v>
      </c>
      <c r="C133" s="233" t="s">
        <v>7333</v>
      </c>
      <c r="D133" s="233"/>
      <c r="E133" s="236" t="s">
        <v>7334</v>
      </c>
      <c r="F133" s="123">
        <f t="shared" si="1"/>
        <v>1</v>
      </c>
      <c r="G133" s="131" t="s">
        <v>7335</v>
      </c>
      <c r="H133" s="226"/>
      <c r="I133" s="192" t="str">
        <f>IFERROR(__xludf.DUMMYFUNCTION("regexreplace(lower(C133), ""_"", """")"),"laborsecondstageduration")</f>
        <v>laborsecondstageduration</v>
      </c>
      <c r="J133" s="131" t="b">
        <f t="shared" si="13"/>
        <v>1</v>
      </c>
      <c r="K133" s="131" t="str">
        <f>IFERROR(__xludf.DUMMYFUNCTION("regexreplace(G133, ""_"", """")"),"laborsecondstageduration")</f>
        <v>laborsecondstageduration</v>
      </c>
      <c r="L133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""$1$2"")"),"labor_second_stage_duration")</f>
        <v>labor_second_stage_duration</v>
      </c>
      <c r="M133" s="136"/>
      <c r="N133" s="238"/>
      <c r="O133" s="136"/>
      <c r="P133" s="238"/>
      <c r="Q133" s="238"/>
      <c r="R133" s="239"/>
      <c r="S133" s="236" t="s">
        <v>7336</v>
      </c>
      <c r="T133" s="136"/>
      <c r="U133" s="136"/>
      <c r="V133" s="136"/>
      <c r="W133" s="136"/>
      <c r="X133" s="136"/>
      <c r="Y133" s="136"/>
      <c r="Z133" s="136"/>
    </row>
    <row r="134">
      <c r="A134" s="129"/>
      <c r="B134" s="129" t="s">
        <v>319</v>
      </c>
      <c r="C134" s="233" t="s">
        <v>7337</v>
      </c>
      <c r="D134" s="233"/>
      <c r="E134" s="245" t="s">
        <v>7338</v>
      </c>
      <c r="F134" s="123">
        <f t="shared" si="1"/>
        <v>1</v>
      </c>
      <c r="G134" s="131" t="s">
        <v>7339</v>
      </c>
      <c r="H134" s="226"/>
      <c r="I134" s="192" t="str">
        <f>IFERROR(__xludf.DUMMYFUNCTION("regexreplace(lower(C134), ""_"", """")"),"deliverycomplication")</f>
        <v>deliverycomplication</v>
      </c>
      <c r="J134" s="131" t="b">
        <f t="shared" si="13"/>
        <v>1</v>
      </c>
      <c r="K134" s="131" t="str">
        <f>IFERROR(__xludf.DUMMYFUNCTION("regexreplace(G134, ""_"", """")"),"deliverycomplication")</f>
        <v>deliverycomplication</v>
      </c>
      <c r="L134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""$1$2"")"),"delivery_complication")</f>
        <v>delivery_complication</v>
      </c>
      <c r="M134" s="136"/>
      <c r="N134" s="238"/>
      <c r="O134" s="136"/>
      <c r="P134" s="238"/>
      <c r="Q134" s="238"/>
      <c r="R134" s="239"/>
      <c r="S134" s="236" t="s">
        <v>7340</v>
      </c>
      <c r="T134" s="136"/>
      <c r="U134" s="136"/>
      <c r="V134" s="136"/>
      <c r="W134" s="136"/>
      <c r="X134" s="136"/>
      <c r="Y134" s="136"/>
      <c r="Z134" s="136"/>
    </row>
    <row r="135">
      <c r="A135" s="129"/>
      <c r="B135" s="129" t="s">
        <v>319</v>
      </c>
      <c r="C135" s="233" t="s">
        <v>7341</v>
      </c>
      <c r="D135" s="233"/>
      <c r="E135" s="236" t="s">
        <v>7342</v>
      </c>
      <c r="F135" s="123">
        <f t="shared" si="1"/>
        <v>1</v>
      </c>
      <c r="G135" s="131" t="s">
        <v>7343</v>
      </c>
      <c r="H135" s="226"/>
      <c r="I135" s="192" t="str">
        <f>IFERROR(__xludf.DUMMYFUNCTION("regexreplace(lower(C135), ""_"", """")"),"deliverycomplicationothertext")</f>
        <v>deliverycomplicationothertext</v>
      </c>
      <c r="J135" s="131" t="b">
        <f t="shared" si="13"/>
        <v>1</v>
      </c>
      <c r="K135" s="131" t="str">
        <f>IFERROR(__xludf.DUMMYFUNCTION("regexreplace(G135, ""_"", """")"),"deliverycomplicationothertext")</f>
        <v>deliverycomplicationothertext</v>
      </c>
      <c r="L135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""$1$2"")"),"delivery_complication_other_text")</f>
        <v>delivery_complication_other_text</v>
      </c>
      <c r="M135" s="136"/>
      <c r="N135" s="238"/>
      <c r="O135" s="136"/>
      <c r="P135" s="238"/>
      <c r="Q135" s="238"/>
      <c r="R135" s="239"/>
      <c r="S135" s="236" t="s">
        <v>7344</v>
      </c>
      <c r="T135" s="136"/>
      <c r="U135" s="136"/>
      <c r="V135" s="136"/>
      <c r="W135" s="136"/>
      <c r="X135" s="136"/>
      <c r="Y135" s="136"/>
      <c r="Z135" s="136"/>
    </row>
    <row r="136">
      <c r="A136" s="129"/>
      <c r="B136" s="129" t="s">
        <v>319</v>
      </c>
      <c r="C136" s="233" t="s">
        <v>7345</v>
      </c>
      <c r="D136" s="233" t="s">
        <v>40</v>
      </c>
      <c r="E136" s="236" t="s">
        <v>7346</v>
      </c>
      <c r="F136" s="123">
        <f t="shared" si="1"/>
        <v>1</v>
      </c>
      <c r="G136" s="131" t="s">
        <v>7347</v>
      </c>
      <c r="H136" s="226"/>
      <c r="I136" s="192" t="str">
        <f>IFERROR(__xludf.DUMMYFUNCTION("regexreplace(lower(C136), ""_"", """")"),"meconiuminamnioticfluid")</f>
        <v>meconiuminamnioticfluid</v>
      </c>
      <c r="J136" s="131" t="b">
        <f t="shared" si="13"/>
        <v>1</v>
      </c>
      <c r="K136" s="131" t="str">
        <f>IFERROR(__xludf.DUMMYFUNCTION("regexreplace(G136, ""_"", """")"),"meconiuminamnioticfluid")</f>
        <v>meconiuminamnioticfluid</v>
      </c>
      <c r="L136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""$1$2"")"),"meconium_in_amniotic_fluid")</f>
        <v>meconium_in_amniotic_fluid</v>
      </c>
      <c r="M136" s="136"/>
      <c r="N136" s="231"/>
      <c r="O136" s="136"/>
      <c r="P136" s="231"/>
      <c r="Q136" s="231"/>
      <c r="R136" s="239"/>
      <c r="S136" s="236" t="s">
        <v>7348</v>
      </c>
      <c r="T136" s="136"/>
      <c r="U136" s="136"/>
      <c r="V136" s="136"/>
      <c r="W136" s="136"/>
      <c r="X136" s="136"/>
      <c r="Y136" s="136"/>
      <c r="Z136" s="136"/>
    </row>
    <row r="137">
      <c r="A137" s="129"/>
      <c r="B137" s="129" t="s">
        <v>319</v>
      </c>
      <c r="C137" s="233" t="s">
        <v>7349</v>
      </c>
      <c r="D137" s="233" t="s">
        <v>40</v>
      </c>
      <c r="E137" s="236" t="s">
        <v>7350</v>
      </c>
      <c r="F137" s="123">
        <f t="shared" si="1"/>
        <v>1</v>
      </c>
      <c r="G137" s="131" t="s">
        <v>7351</v>
      </c>
      <c r="H137" s="226"/>
      <c r="I137" s="192" t="str">
        <f>IFERROR(__xludf.DUMMYFUNCTION("regexreplace(lower(C137), ""_"", """")"),"infantsuctionformeconium")</f>
        <v>infantsuctionformeconium</v>
      </c>
      <c r="J137" s="131" t="b">
        <f t="shared" si="13"/>
        <v>1</v>
      </c>
      <c r="K137" s="131" t="str">
        <f>IFERROR(__xludf.DUMMYFUNCTION("regexreplace(G137, ""_"", """")"),"infantsuctionformeconium")</f>
        <v>infantsuctionformeconium</v>
      </c>
      <c r="L137" s="13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""$1$2"")"),"infant_suction_for_meconium")</f>
        <v>infant_suction_for_meconium</v>
      </c>
      <c r="M137" s="136"/>
      <c r="N137" s="231"/>
      <c r="O137" s="136"/>
      <c r="P137" s="231"/>
      <c r="Q137" s="231"/>
      <c r="R137" s="239"/>
      <c r="S137" s="236" t="s">
        <v>7352</v>
      </c>
      <c r="T137" s="136"/>
      <c r="U137" s="136"/>
      <c r="V137" s="136"/>
      <c r="W137" s="136"/>
      <c r="X137" s="136"/>
      <c r="Y137" s="136"/>
      <c r="Z137" s="136"/>
    </row>
    <row r="138">
      <c r="A138" s="33"/>
      <c r="B138" s="33"/>
      <c r="C138" s="12"/>
      <c r="D138" s="12"/>
      <c r="E138" s="15"/>
      <c r="F138" s="123">
        <f t="shared" si="1"/>
        <v>0</v>
      </c>
      <c r="G138" s="12"/>
      <c r="H138" s="12"/>
      <c r="I138" s="12"/>
      <c r="J138" s="12"/>
      <c r="K138" s="12"/>
      <c r="L138" s="12"/>
      <c r="N138" s="15"/>
      <c r="P138" s="15"/>
      <c r="Q138" s="15"/>
      <c r="R138" s="88"/>
      <c r="S138" s="88"/>
    </row>
    <row r="139">
      <c r="A139" s="189" t="s">
        <v>10</v>
      </c>
      <c r="B139" s="246" t="s">
        <v>463</v>
      </c>
      <c r="C139" s="247" t="s">
        <v>464</v>
      </c>
      <c r="D139" s="247" t="s">
        <v>464</v>
      </c>
      <c r="E139" s="214" t="s">
        <v>465</v>
      </c>
      <c r="F139" s="123">
        <f t="shared" si="1"/>
        <v>3</v>
      </c>
      <c r="G139" s="121" t="s">
        <v>466</v>
      </c>
      <c r="H139" s="12"/>
      <c r="I139" s="192" t="str">
        <f>IFERROR(__xludf.DUMMYFUNCTION("regexreplace(lower(C139), ""_"", """")"),"encephalopathylevel")</f>
        <v>encephalopathylevel</v>
      </c>
      <c r="J139" s="192" t="b">
        <f t="shared" ref="J139:J148" si="14">exact(I139, K139)</f>
        <v>1</v>
      </c>
      <c r="K139" s="192" t="str">
        <f>IFERROR(__xludf.DUMMYFUNCTION("regexreplace(G139, ""_"", """")"),"encephalopathylevel")</f>
        <v>encephalopathylevel</v>
      </c>
      <c r="L1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""$1$2"")"),"encephalopathy_level")</f>
        <v>encephalopathy_level</v>
      </c>
      <c r="M139" s="216"/>
      <c r="N139" s="248" t="s">
        <v>7353</v>
      </c>
      <c r="O139" s="215" t="s">
        <v>7354</v>
      </c>
      <c r="P139" s="214" t="s">
        <v>467</v>
      </c>
      <c r="Q139" s="214" t="s">
        <v>468</v>
      </c>
      <c r="R139" s="219"/>
      <c r="S139" s="219"/>
      <c r="T139" s="216"/>
      <c r="U139" s="216"/>
      <c r="V139" s="216"/>
      <c r="W139" s="216"/>
      <c r="X139" s="216"/>
      <c r="Y139" s="216"/>
      <c r="Z139" s="216"/>
    </row>
    <row r="140">
      <c r="A140" s="246"/>
      <c r="B140" s="246" t="s">
        <v>463</v>
      </c>
      <c r="C140" s="247" t="s">
        <v>469</v>
      </c>
      <c r="D140" s="247" t="s">
        <v>470</v>
      </c>
      <c r="E140" s="249" t="s">
        <v>471</v>
      </c>
      <c r="F140" s="123">
        <f t="shared" si="1"/>
        <v>1</v>
      </c>
      <c r="G140" s="121" t="s">
        <v>472</v>
      </c>
      <c r="H140" s="12"/>
      <c r="I140" s="192" t="str">
        <f>IFERROR(__xludf.DUMMYFUNCTION("regexreplace(lower(C140), ""_"", """")"),"randominfantage")</f>
        <v>randominfantage</v>
      </c>
      <c r="J140" s="192" t="b">
        <f t="shared" si="14"/>
        <v>1</v>
      </c>
      <c r="K140" s="192" t="str">
        <f>IFERROR(__xludf.DUMMYFUNCTION("regexreplace(G140, ""_"", """")"),"randominfantage")</f>
        <v>randominfantage</v>
      </c>
      <c r="L1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""$1$2"")"),"random_infant_age")</f>
        <v>random_infant_age</v>
      </c>
      <c r="M140" s="216"/>
      <c r="N140" s="250"/>
      <c r="O140" s="216"/>
      <c r="P140" s="249" t="s">
        <v>473</v>
      </c>
      <c r="Q140" s="251"/>
      <c r="R140" s="219"/>
      <c r="S140" s="219"/>
      <c r="T140" s="216"/>
      <c r="U140" s="216"/>
      <c r="V140" s="216"/>
      <c r="W140" s="216"/>
      <c r="X140" s="216"/>
      <c r="Y140" s="216"/>
      <c r="Z140" s="216"/>
    </row>
    <row r="141">
      <c r="A141" s="246"/>
      <c r="B141" s="246" t="s">
        <v>463</v>
      </c>
      <c r="C141" s="247" t="s">
        <v>25</v>
      </c>
      <c r="D141" s="247" t="s">
        <v>26</v>
      </c>
      <c r="E141" s="151" t="s">
        <v>474</v>
      </c>
      <c r="F141" s="123">
        <f t="shared" si="1"/>
        <v>3</v>
      </c>
      <c r="G141" s="121" t="s">
        <v>28</v>
      </c>
      <c r="H141" s="12"/>
      <c r="I141" s="192" t="str">
        <f>IFERROR(__xludf.DUMMYFUNCTION("regexreplace(lower(C141), ""_"", """")"),"birthdate")</f>
        <v>birthdate</v>
      </c>
      <c r="J141" s="192" t="b">
        <f t="shared" si="14"/>
        <v>1</v>
      </c>
      <c r="K141" s="192" t="str">
        <f>IFERROR(__xludf.DUMMYFUNCTION("regexreplace(G141, ""_"", """")"),"birthdate")</f>
        <v>birthdate</v>
      </c>
      <c r="L1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""$1$2"")"),"birth_date")</f>
        <v>birth_date</v>
      </c>
      <c r="M141" s="216"/>
      <c r="N141" s="248" t="s">
        <v>7192</v>
      </c>
      <c r="O141" s="216"/>
      <c r="P141" s="218" t="s">
        <v>475</v>
      </c>
      <c r="Q141" s="218" t="s">
        <v>476</v>
      </c>
      <c r="R141" s="219"/>
      <c r="S141" s="214" t="s">
        <v>7355</v>
      </c>
      <c r="T141" s="216"/>
      <c r="U141" s="216"/>
      <c r="V141" s="216"/>
      <c r="W141" s="216"/>
      <c r="X141" s="216"/>
      <c r="Y141" s="216"/>
      <c r="Z141" s="216"/>
    </row>
    <row r="142">
      <c r="A142" s="246"/>
      <c r="B142" s="246" t="s">
        <v>463</v>
      </c>
      <c r="C142" s="247" t="s">
        <v>477</v>
      </c>
      <c r="D142" s="247" t="s">
        <v>145</v>
      </c>
      <c r="E142" s="214" t="s">
        <v>478</v>
      </c>
      <c r="F142" s="123">
        <f t="shared" si="1"/>
        <v>3</v>
      </c>
      <c r="G142" s="121" t="s">
        <v>479</v>
      </c>
      <c r="H142" s="12"/>
      <c r="I142" s="192" t="str">
        <f>IFERROR(__xludf.DUMMYFUNCTION("regexreplace(lower(C142), ""_"", """")"),"birthtime")</f>
        <v>birthtime</v>
      </c>
      <c r="J142" s="192" t="b">
        <f t="shared" si="14"/>
        <v>1</v>
      </c>
      <c r="K142" s="192" t="str">
        <f>IFERROR(__xludf.DUMMYFUNCTION("regexreplace(G142, ""_"", """")"),"birthtime")</f>
        <v>birthtime</v>
      </c>
      <c r="L1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""$1$2"")"),"birth_time")</f>
        <v>birth_time</v>
      </c>
      <c r="M142" s="216"/>
      <c r="N142" s="252"/>
      <c r="O142" s="216"/>
      <c r="P142" s="218" t="s">
        <v>480</v>
      </c>
      <c r="Q142" s="218" t="s">
        <v>481</v>
      </c>
      <c r="R142" s="219"/>
      <c r="S142" s="214" t="s">
        <v>7356</v>
      </c>
      <c r="T142" s="216"/>
      <c r="U142" s="216"/>
      <c r="V142" s="216"/>
      <c r="W142" s="216"/>
      <c r="X142" s="216"/>
      <c r="Y142" s="216"/>
      <c r="Z142" s="216"/>
    </row>
    <row r="143">
      <c r="A143" s="246"/>
      <c r="B143" s="246" t="s">
        <v>463</v>
      </c>
      <c r="C143" s="247" t="s">
        <v>482</v>
      </c>
      <c r="D143" s="247" t="s">
        <v>483</v>
      </c>
      <c r="E143" s="214" t="s">
        <v>484</v>
      </c>
      <c r="F143" s="123">
        <f t="shared" si="1"/>
        <v>5</v>
      </c>
      <c r="G143" s="121" t="s">
        <v>485</v>
      </c>
      <c r="H143" s="12"/>
      <c r="I143" s="192" t="str">
        <f>IFERROR(__xludf.DUMMYFUNCTION("regexreplace(lower(C143), ""_"", """")"),"birthweightg")</f>
        <v>birthweightg</v>
      </c>
      <c r="J143" s="192" t="b">
        <f t="shared" si="14"/>
        <v>1</v>
      </c>
      <c r="K143" s="192" t="str">
        <f>IFERROR(__xludf.DUMMYFUNCTION("regexreplace(G143, ""_"", """")"),"birthweightg")</f>
        <v>birthweightg</v>
      </c>
      <c r="L1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""$1$2"")"),"birth_weight_g")</f>
        <v>birth_weight_g</v>
      </c>
      <c r="M143" s="216"/>
      <c r="N143" s="248" t="s">
        <v>7357</v>
      </c>
      <c r="O143" s="215" t="s">
        <v>7358</v>
      </c>
      <c r="P143" s="218" t="s">
        <v>486</v>
      </c>
      <c r="Q143" s="218" t="s">
        <v>487</v>
      </c>
      <c r="R143" s="214" t="s">
        <v>7359</v>
      </c>
      <c r="S143" s="214" t="s">
        <v>7360</v>
      </c>
      <c r="T143" s="216"/>
      <c r="U143" s="216"/>
      <c r="V143" s="216"/>
      <c r="W143" s="216"/>
      <c r="X143" s="216"/>
      <c r="Y143" s="216"/>
      <c r="Z143" s="216"/>
    </row>
    <row r="144">
      <c r="A144" s="246"/>
      <c r="B144" s="246" t="s">
        <v>463</v>
      </c>
      <c r="C144" s="247" t="s">
        <v>488</v>
      </c>
      <c r="D144" s="247" t="s">
        <v>483</v>
      </c>
      <c r="E144" s="214" t="s">
        <v>489</v>
      </c>
      <c r="F144" s="123">
        <f t="shared" si="1"/>
        <v>3</v>
      </c>
      <c r="G144" s="121" t="s">
        <v>490</v>
      </c>
      <c r="H144" s="12"/>
      <c r="I144" s="192" t="str">
        <f>IFERROR(__xludf.DUMMYFUNCTION("regexreplace(lower(C144), ""_"", """")"),"birthlengthcm")</f>
        <v>birthlengthcm</v>
      </c>
      <c r="J144" s="192" t="b">
        <f t="shared" si="14"/>
        <v>1</v>
      </c>
      <c r="K144" s="192" t="str">
        <f>IFERROR(__xludf.DUMMYFUNCTION("regexreplace(G144, ""_"", """")"),"birthlengthcm")</f>
        <v>birthlengthcm</v>
      </c>
      <c r="L1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""$1$2"")"),"birth_length_cm")</f>
        <v>birth_length_cm</v>
      </c>
      <c r="M144" s="216"/>
      <c r="N144" s="248" t="s">
        <v>7361</v>
      </c>
      <c r="O144" s="216"/>
      <c r="P144" s="218" t="s">
        <v>491</v>
      </c>
      <c r="Q144" s="218" t="s">
        <v>492</v>
      </c>
      <c r="R144" s="219"/>
      <c r="S144" s="214" t="s">
        <v>7362</v>
      </c>
      <c r="T144" s="216"/>
      <c r="U144" s="216"/>
      <c r="V144" s="216"/>
      <c r="W144" s="216"/>
      <c r="X144" s="216"/>
      <c r="Y144" s="216"/>
      <c r="Z144" s="216"/>
    </row>
    <row r="145">
      <c r="A145" s="246"/>
      <c r="B145" s="246" t="s">
        <v>463</v>
      </c>
      <c r="C145" s="247" t="s">
        <v>493</v>
      </c>
      <c r="D145" s="247" t="s">
        <v>483</v>
      </c>
      <c r="E145" s="214" t="s">
        <v>494</v>
      </c>
      <c r="F145" s="123">
        <f t="shared" si="1"/>
        <v>5</v>
      </c>
      <c r="G145" s="121" t="s">
        <v>495</v>
      </c>
      <c r="H145" s="12"/>
      <c r="I145" s="192" t="str">
        <f>IFERROR(__xludf.DUMMYFUNCTION("regexreplace(lower(C145), ""_"", """")"),"birthheadcircumferencecm")</f>
        <v>birthheadcircumferencecm</v>
      </c>
      <c r="J145" s="192" t="b">
        <f t="shared" si="14"/>
        <v>1</v>
      </c>
      <c r="K145" s="192" t="str">
        <f>IFERROR(__xludf.DUMMYFUNCTION("regexreplace(G145, ""_"", """")"),"birthheadcircumferencecm")</f>
        <v>birthheadcircumferencecm</v>
      </c>
      <c r="L1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""$1$2"")"),"birth_head_circumference_cm")</f>
        <v>birth_head_circumference_cm</v>
      </c>
      <c r="M145" s="216"/>
      <c r="N145" s="248" t="s">
        <v>7363</v>
      </c>
      <c r="O145" s="215" t="s">
        <v>7364</v>
      </c>
      <c r="P145" s="218" t="s">
        <v>496</v>
      </c>
      <c r="Q145" s="218" t="s">
        <v>497</v>
      </c>
      <c r="R145" s="214" t="s">
        <v>7365</v>
      </c>
      <c r="S145" s="214" t="s">
        <v>7366</v>
      </c>
      <c r="T145" s="216"/>
      <c r="U145" s="216"/>
      <c r="V145" s="216"/>
      <c r="W145" s="216"/>
      <c r="X145" s="216"/>
      <c r="Y145" s="216"/>
      <c r="Z145" s="216"/>
    </row>
    <row r="146">
      <c r="A146" s="246"/>
      <c r="B146" s="246" t="s">
        <v>463</v>
      </c>
      <c r="C146" s="247" t="s">
        <v>498</v>
      </c>
      <c r="D146" s="247" t="s">
        <v>31</v>
      </c>
      <c r="E146" s="214" t="s">
        <v>499</v>
      </c>
      <c r="F146" s="123">
        <f t="shared" si="1"/>
        <v>5</v>
      </c>
      <c r="G146" s="121" t="s">
        <v>500</v>
      </c>
      <c r="H146" s="12"/>
      <c r="I146" s="192" t="str">
        <f>IFERROR(__xludf.DUMMYFUNCTION("regexreplace(lower(C146), ""_"", """")"),"birthgestationalageweek")</f>
        <v>birthgestationalageweek</v>
      </c>
      <c r="J146" s="192" t="b">
        <f t="shared" si="14"/>
        <v>1</v>
      </c>
      <c r="K146" s="192" t="str">
        <f>IFERROR(__xludf.DUMMYFUNCTION("regexreplace(G146, ""_"", """")"),"birthgestationalageweek")</f>
        <v>birthgestationalageweek</v>
      </c>
      <c r="L1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""$1$2"")"),"birth_gestational_age_week")</f>
        <v>birth_gestational_age_week</v>
      </c>
      <c r="M146" s="61" t="s">
        <v>7367</v>
      </c>
      <c r="N146" s="248" t="s">
        <v>7368</v>
      </c>
      <c r="O146" s="215" t="s">
        <v>7369</v>
      </c>
      <c r="P146" s="214" t="s">
        <v>501</v>
      </c>
      <c r="Q146" s="214" t="s">
        <v>502</v>
      </c>
      <c r="R146" s="214" t="s">
        <v>7370</v>
      </c>
      <c r="S146" s="214" t="s">
        <v>7371</v>
      </c>
      <c r="T146" s="216"/>
      <c r="U146" s="216"/>
      <c r="V146" s="216"/>
      <c r="W146" s="216"/>
      <c r="X146" s="216"/>
      <c r="Y146" s="216"/>
      <c r="Z146" s="216"/>
    </row>
    <row r="147">
      <c r="A147" s="246"/>
      <c r="B147" s="246" t="s">
        <v>463</v>
      </c>
      <c r="C147" s="253" t="s">
        <v>7372</v>
      </c>
      <c r="D147" s="247" t="s">
        <v>31</v>
      </c>
      <c r="E147" s="254" t="s">
        <v>7373</v>
      </c>
      <c r="F147" s="123">
        <f t="shared" si="1"/>
        <v>1</v>
      </c>
      <c r="G147" s="121" t="s">
        <v>7374</v>
      </c>
      <c r="H147" s="226"/>
      <c r="I147" s="192" t="str">
        <f>IFERROR(__xludf.DUMMYFUNCTION("regexreplace(lower(C147), ""_"", """")"),"birthgestationalageday")</f>
        <v>birthgestationalageday</v>
      </c>
      <c r="J147" s="192" t="b">
        <f t="shared" si="14"/>
        <v>1</v>
      </c>
      <c r="K147" s="192" t="str">
        <f>IFERROR(__xludf.DUMMYFUNCTION("regexreplace(G147, ""_"", """")"),"birthgestationalageday")</f>
        <v>birthgestationalageday</v>
      </c>
      <c r="L1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""$1$2"")"),"birth_gestational_age_day")</f>
        <v>birth_gestational_age_day</v>
      </c>
      <c r="M147" s="216"/>
      <c r="N147" s="255"/>
      <c r="O147" s="216"/>
      <c r="P147" s="214"/>
      <c r="Q147" s="214"/>
      <c r="R147" s="256"/>
      <c r="S147" s="254" t="s">
        <v>7375</v>
      </c>
      <c r="T147" s="216"/>
      <c r="U147" s="216"/>
      <c r="V147" s="216"/>
      <c r="W147" s="216"/>
      <c r="X147" s="216"/>
      <c r="Y147" s="216"/>
      <c r="Z147" s="216"/>
    </row>
    <row r="148">
      <c r="A148" s="246"/>
      <c r="B148" s="246" t="s">
        <v>463</v>
      </c>
      <c r="C148" s="247" t="s">
        <v>503</v>
      </c>
      <c r="D148" s="247" t="s">
        <v>503</v>
      </c>
      <c r="E148" s="214" t="s">
        <v>504</v>
      </c>
      <c r="F148" s="123">
        <f t="shared" si="1"/>
        <v>5</v>
      </c>
      <c r="G148" s="121" t="s">
        <v>505</v>
      </c>
      <c r="H148" s="12"/>
      <c r="I148" s="192" t="str">
        <f>IFERROR(__xludf.DUMMYFUNCTION("regexreplace(lower(C148), ""_"", """")"),"infantsex")</f>
        <v>infantsex</v>
      </c>
      <c r="J148" s="192" t="b">
        <f t="shared" si="14"/>
        <v>1</v>
      </c>
      <c r="K148" s="192" t="str">
        <f>IFERROR(__xludf.DUMMYFUNCTION("regexreplace(G148, ""_"", """")"),"infantsex")</f>
        <v>infantsex</v>
      </c>
      <c r="L1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""$1$2"")"),"infant_sex")</f>
        <v>infant_sex</v>
      </c>
      <c r="M148" s="216"/>
      <c r="N148" s="248" t="s">
        <v>7376</v>
      </c>
      <c r="O148" s="215" t="s">
        <v>7377</v>
      </c>
      <c r="P148" s="214" t="s">
        <v>506</v>
      </c>
      <c r="Q148" s="214" t="s">
        <v>507</v>
      </c>
      <c r="R148" s="214" t="s">
        <v>7377</v>
      </c>
      <c r="S148" s="214" t="s">
        <v>7377</v>
      </c>
      <c r="T148" s="216"/>
      <c r="U148" s="216"/>
      <c r="V148" s="216"/>
      <c r="W148" s="216"/>
      <c r="X148" s="216"/>
      <c r="Y148" s="216"/>
      <c r="Z148" s="216"/>
    </row>
    <row r="149">
      <c r="A149" s="246"/>
      <c r="B149" s="246" t="s">
        <v>463</v>
      </c>
      <c r="C149" s="247" t="s">
        <v>7378</v>
      </c>
      <c r="D149" s="247"/>
      <c r="E149" s="255" t="s">
        <v>7379</v>
      </c>
      <c r="F149" s="123">
        <f t="shared" si="1"/>
        <v>1</v>
      </c>
      <c r="G149" s="121"/>
      <c r="H149" s="12"/>
      <c r="I149" s="192"/>
      <c r="J149" s="192"/>
      <c r="K149" s="192"/>
      <c r="L149" s="121"/>
      <c r="M149" s="257"/>
      <c r="N149" s="255"/>
      <c r="O149" s="248" t="s">
        <v>7380</v>
      </c>
      <c r="P149" s="255"/>
      <c r="Q149" s="255"/>
      <c r="R149" s="258"/>
      <c r="S149" s="258"/>
      <c r="T149" s="257"/>
      <c r="U149" s="257"/>
      <c r="V149" s="257"/>
      <c r="W149" s="257"/>
      <c r="X149" s="257"/>
      <c r="Y149" s="257"/>
      <c r="Z149" s="257"/>
    </row>
    <row r="150">
      <c r="A150" s="246"/>
      <c r="B150" s="246" t="s">
        <v>463</v>
      </c>
      <c r="C150" s="247" t="s">
        <v>508</v>
      </c>
      <c r="D150" s="247" t="s">
        <v>40</v>
      </c>
      <c r="E150" s="255" t="s">
        <v>509</v>
      </c>
      <c r="F150" s="123">
        <f t="shared" si="1"/>
        <v>2</v>
      </c>
      <c r="G150" s="121" t="s">
        <v>510</v>
      </c>
      <c r="H150" s="12" t="s">
        <v>511</v>
      </c>
      <c r="I150" s="192" t="str">
        <f>IFERROR(__xludf.DUMMYFUNCTION("regexreplace(lower(C150), ""_"", """")"),"infantoutborn")</f>
        <v>infantoutborn</v>
      </c>
      <c r="J150" s="192" t="b">
        <f t="shared" ref="J150:J176" si="15">exact(I150, K150)</f>
        <v>1</v>
      </c>
      <c r="K150" s="192" t="str">
        <f>IFERROR(__xludf.DUMMYFUNCTION("regexreplace(G150, ""_"", """")"),"infantoutborn")</f>
        <v>infantoutborn</v>
      </c>
      <c r="L1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""$1$2"")"),"infant_outborn")</f>
        <v>infant_outborn</v>
      </c>
      <c r="M150" s="257"/>
      <c r="N150" s="255"/>
      <c r="O150" s="257"/>
      <c r="P150" s="255" t="s">
        <v>512</v>
      </c>
      <c r="Q150" s="255" t="s">
        <v>513</v>
      </c>
      <c r="R150" s="258"/>
      <c r="S150" s="258"/>
      <c r="T150" s="257"/>
      <c r="U150" s="257"/>
      <c r="V150" s="257"/>
      <c r="W150" s="257"/>
      <c r="X150" s="257"/>
      <c r="Y150" s="257"/>
      <c r="Z150" s="257"/>
    </row>
    <row r="151">
      <c r="A151" s="246"/>
      <c r="B151" s="246" t="s">
        <v>463</v>
      </c>
      <c r="C151" s="247" t="s">
        <v>514</v>
      </c>
      <c r="D151" s="247" t="s">
        <v>40</v>
      </c>
      <c r="E151" s="255" t="s">
        <v>515</v>
      </c>
      <c r="F151" s="123">
        <f t="shared" si="1"/>
        <v>2</v>
      </c>
      <c r="G151" s="121" t="s">
        <v>516</v>
      </c>
      <c r="H151" s="12" t="s">
        <v>511</v>
      </c>
      <c r="I151" s="192" t="str">
        <f>IFERROR(__xludf.DUMMYFUNCTION("regexreplace(lower(C151), ""_"", """")"),"outborninhospital")</f>
        <v>outborninhospital</v>
      </c>
      <c r="J151" s="192" t="b">
        <f t="shared" si="15"/>
        <v>1</v>
      </c>
      <c r="K151" s="192" t="str">
        <f>IFERROR(__xludf.DUMMYFUNCTION("regexreplace(G151, ""_"", """")"),"outborninhospital")</f>
        <v>outborninhospital</v>
      </c>
      <c r="L1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""$1$2"")"),"outborn_in_hospital")</f>
        <v>outborn_in_hospital</v>
      </c>
      <c r="M151" s="257"/>
      <c r="N151" s="255"/>
      <c r="O151" s="257"/>
      <c r="P151" s="255" t="s">
        <v>517</v>
      </c>
      <c r="Q151" s="255" t="s">
        <v>518</v>
      </c>
      <c r="R151" s="258"/>
      <c r="S151" s="258"/>
      <c r="T151" s="257"/>
      <c r="U151" s="257"/>
      <c r="V151" s="257"/>
      <c r="W151" s="257"/>
      <c r="X151" s="257"/>
      <c r="Y151" s="257"/>
      <c r="Z151" s="257"/>
    </row>
    <row r="152">
      <c r="A152" s="246"/>
      <c r="B152" s="246" t="s">
        <v>463</v>
      </c>
      <c r="C152" s="247" t="s">
        <v>519</v>
      </c>
      <c r="D152" s="247" t="s">
        <v>40</v>
      </c>
      <c r="E152" s="255" t="s">
        <v>520</v>
      </c>
      <c r="F152" s="123">
        <f t="shared" si="1"/>
        <v>2</v>
      </c>
      <c r="G152" s="121" t="s">
        <v>521</v>
      </c>
      <c r="H152" s="12" t="s">
        <v>511</v>
      </c>
      <c r="I152" s="192" t="str">
        <f>IFERROR(__xludf.DUMMYFUNCTION("regexreplace(lower(C152), ""_"", """")"),"outbornouthospital")</f>
        <v>outbornouthospital</v>
      </c>
      <c r="J152" s="192" t="b">
        <f t="shared" si="15"/>
        <v>1</v>
      </c>
      <c r="K152" s="192" t="str">
        <f>IFERROR(__xludf.DUMMYFUNCTION("regexreplace(G152, ""_"", """")"),"outbornouthospital")</f>
        <v>outbornouthospital</v>
      </c>
      <c r="L1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""$1$2"")"),"outborn_out_hospital")</f>
        <v>outborn_out_hospital</v>
      </c>
      <c r="M152" s="257"/>
      <c r="N152" s="255"/>
      <c r="O152" s="257"/>
      <c r="P152" s="255" t="s">
        <v>522</v>
      </c>
      <c r="Q152" s="255" t="s">
        <v>523</v>
      </c>
      <c r="R152" s="258"/>
      <c r="S152" s="258"/>
      <c r="T152" s="257"/>
      <c r="U152" s="257"/>
      <c r="V152" s="257"/>
      <c r="W152" s="257"/>
      <c r="X152" s="257"/>
      <c r="Y152" s="257"/>
      <c r="Z152" s="257"/>
    </row>
    <row r="153">
      <c r="A153" s="246"/>
      <c r="B153" s="246" t="s">
        <v>463</v>
      </c>
      <c r="C153" s="247" t="s">
        <v>524</v>
      </c>
      <c r="D153" s="247" t="s">
        <v>26</v>
      </c>
      <c r="E153" s="259" t="s">
        <v>525</v>
      </c>
      <c r="F153" s="123">
        <f t="shared" si="1"/>
        <v>2</v>
      </c>
      <c r="G153" s="121" t="s">
        <v>526</v>
      </c>
      <c r="H153" s="12"/>
      <c r="I153" s="192" t="str">
        <f>IFERROR(__xludf.DUMMYFUNCTION("regexreplace(lower(C153), ""_"", """")"),"neonateadmissiondate")</f>
        <v>neonateadmissiondate</v>
      </c>
      <c r="J153" s="192" t="b">
        <f t="shared" si="15"/>
        <v>1</v>
      </c>
      <c r="K153" s="192" t="str">
        <f>IFERROR(__xludf.DUMMYFUNCTION("regexreplace(G153, ""_"", """")"),"neonateadmissiondate")</f>
        <v>neonateadmissiondate</v>
      </c>
      <c r="L1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""$1$2"")"),"neonate_admission_date")</f>
        <v>neonate_admission_date</v>
      </c>
      <c r="M153" s="257"/>
      <c r="N153" s="248" t="s">
        <v>7280</v>
      </c>
      <c r="O153" s="257"/>
      <c r="P153" s="255" t="s">
        <v>527</v>
      </c>
      <c r="Q153" s="255" t="s">
        <v>528</v>
      </c>
      <c r="R153" s="258"/>
      <c r="S153" s="258"/>
      <c r="T153" s="257"/>
      <c r="U153" s="257"/>
      <c r="V153" s="257"/>
      <c r="W153" s="257"/>
      <c r="X153" s="257"/>
      <c r="Y153" s="257"/>
      <c r="Z153" s="257"/>
    </row>
    <row r="154">
      <c r="A154" s="246"/>
      <c r="B154" s="246" t="s">
        <v>463</v>
      </c>
      <c r="C154" s="247" t="s">
        <v>529</v>
      </c>
      <c r="D154" s="247" t="s">
        <v>145</v>
      </c>
      <c r="E154" s="259" t="s">
        <v>530</v>
      </c>
      <c r="F154" s="123">
        <f t="shared" si="1"/>
        <v>2</v>
      </c>
      <c r="G154" s="121" t="s">
        <v>531</v>
      </c>
      <c r="H154" s="12"/>
      <c r="I154" s="192" t="str">
        <f>IFERROR(__xludf.DUMMYFUNCTION("regexreplace(lower(C154), ""_"", """")"),"neonateadmissiontime")</f>
        <v>neonateadmissiontime</v>
      </c>
      <c r="J154" s="192" t="b">
        <f t="shared" si="15"/>
        <v>1</v>
      </c>
      <c r="K154" s="192" t="str">
        <f>IFERROR(__xludf.DUMMYFUNCTION("regexreplace(G154, ""_"", """")"),"neonateadmissiontime")</f>
        <v>neonateadmissiontime</v>
      </c>
      <c r="L1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""$1$2"")"),"neonate_admission_time")</f>
        <v>neonate_admission_time</v>
      </c>
      <c r="M154" s="257"/>
      <c r="N154" s="255"/>
      <c r="O154" s="257"/>
      <c r="P154" s="255" t="s">
        <v>532</v>
      </c>
      <c r="Q154" s="255" t="s">
        <v>533</v>
      </c>
      <c r="R154" s="258"/>
      <c r="S154" s="258"/>
      <c r="T154" s="257"/>
      <c r="U154" s="257"/>
      <c r="V154" s="257"/>
      <c r="W154" s="257"/>
      <c r="X154" s="257"/>
      <c r="Y154" s="257"/>
      <c r="Z154" s="257"/>
    </row>
    <row r="155">
      <c r="A155" s="246"/>
      <c r="B155" s="246" t="s">
        <v>463</v>
      </c>
      <c r="C155" s="247" t="s">
        <v>534</v>
      </c>
      <c r="D155" s="247" t="s">
        <v>31</v>
      </c>
      <c r="E155" s="255" t="s">
        <v>535</v>
      </c>
      <c r="F155" s="123">
        <f t="shared" si="1"/>
        <v>4</v>
      </c>
      <c r="G155" s="121" t="s">
        <v>536</v>
      </c>
      <c r="H155" s="12"/>
      <c r="I155" s="192" t="str">
        <f>IFERROR(__xludf.DUMMYFUNCTION("regexreplace(lower(C155), ""_"", """")"),"apgar1min")</f>
        <v>apgar1min</v>
      </c>
      <c r="J155" s="192" t="b">
        <f t="shared" si="15"/>
        <v>1</v>
      </c>
      <c r="K155" s="192" t="str">
        <f>IFERROR(__xludf.DUMMYFUNCTION("regexreplace(G155, ""_"", """")"),"apgar1min")</f>
        <v>apgar1min</v>
      </c>
      <c r="L1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""$1$2"")"),"apgar1min")</f>
        <v>apgar1min</v>
      </c>
      <c r="M155" s="257"/>
      <c r="N155" s="255" t="s">
        <v>7381</v>
      </c>
      <c r="O155" s="257"/>
      <c r="P155" s="255" t="s">
        <v>537</v>
      </c>
      <c r="Q155" s="255" t="s">
        <v>538</v>
      </c>
      <c r="R155" s="255" t="s">
        <v>7382</v>
      </c>
      <c r="S155" s="255" t="s">
        <v>7383</v>
      </c>
      <c r="T155" s="257"/>
      <c r="U155" s="257"/>
      <c r="V155" s="257"/>
      <c r="W155" s="257"/>
      <c r="X155" s="257"/>
      <c r="Y155" s="257"/>
      <c r="Z155" s="257"/>
    </row>
    <row r="156">
      <c r="A156" s="246"/>
      <c r="B156" s="246" t="s">
        <v>463</v>
      </c>
      <c r="C156" s="247" t="s">
        <v>539</v>
      </c>
      <c r="D156" s="247" t="s">
        <v>31</v>
      </c>
      <c r="E156" s="255" t="s">
        <v>540</v>
      </c>
      <c r="F156" s="123">
        <f t="shared" si="1"/>
        <v>5</v>
      </c>
      <c r="G156" s="121" t="s">
        <v>541</v>
      </c>
      <c r="H156" s="12"/>
      <c r="I156" s="192" t="str">
        <f>IFERROR(__xludf.DUMMYFUNCTION("regexreplace(lower(C156), ""_"", """")"),"apgar5min")</f>
        <v>apgar5min</v>
      </c>
      <c r="J156" s="192" t="b">
        <f t="shared" si="15"/>
        <v>1</v>
      </c>
      <c r="K156" s="192" t="str">
        <f>IFERROR(__xludf.DUMMYFUNCTION("regexreplace(G156, ""_"", """")"),"apgar5min")</f>
        <v>apgar5min</v>
      </c>
      <c r="L1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""$1$2"")"),"apgar5min")</f>
        <v>apgar5min</v>
      </c>
      <c r="M156" s="257"/>
      <c r="N156" s="255" t="s">
        <v>7384</v>
      </c>
      <c r="O156" s="248" t="s">
        <v>7385</v>
      </c>
      <c r="P156" s="255" t="s">
        <v>542</v>
      </c>
      <c r="Q156" s="255" t="s">
        <v>543</v>
      </c>
      <c r="R156" s="255" t="s">
        <v>7386</v>
      </c>
      <c r="S156" s="255" t="s">
        <v>7387</v>
      </c>
      <c r="T156" s="257"/>
      <c r="U156" s="257"/>
      <c r="V156" s="257"/>
      <c r="W156" s="257"/>
      <c r="X156" s="257"/>
      <c r="Y156" s="257"/>
      <c r="Z156" s="257"/>
    </row>
    <row r="157">
      <c r="A157" s="246"/>
      <c r="B157" s="246" t="s">
        <v>463</v>
      </c>
      <c r="C157" s="247" t="s">
        <v>544</v>
      </c>
      <c r="D157" s="247" t="s">
        <v>31</v>
      </c>
      <c r="E157" s="255" t="s">
        <v>545</v>
      </c>
      <c r="F157" s="123">
        <f t="shared" si="1"/>
        <v>5</v>
      </c>
      <c r="G157" s="121" t="s">
        <v>546</v>
      </c>
      <c r="H157" s="12"/>
      <c r="I157" s="192" t="str">
        <f>IFERROR(__xludf.DUMMYFUNCTION("regexreplace(lower(C157), ""_"", """")"),"apgar10min")</f>
        <v>apgar10min</v>
      </c>
      <c r="J157" s="192" t="b">
        <f t="shared" si="15"/>
        <v>1</v>
      </c>
      <c r="K157" s="192" t="str">
        <f>IFERROR(__xludf.DUMMYFUNCTION("regexreplace(G157, ""_"", """")"),"apgar10min")</f>
        <v>apgar10min</v>
      </c>
      <c r="L1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""$1$2"")"),"apgar10min")</f>
        <v>apgar10min</v>
      </c>
      <c r="M157" s="257"/>
      <c r="N157" s="255" t="s">
        <v>7388</v>
      </c>
      <c r="O157" s="248" t="s">
        <v>7389</v>
      </c>
      <c r="P157" s="255" t="s">
        <v>547</v>
      </c>
      <c r="Q157" s="255" t="s">
        <v>548</v>
      </c>
      <c r="R157" s="255" t="s">
        <v>7390</v>
      </c>
      <c r="S157" s="255" t="s">
        <v>7391</v>
      </c>
      <c r="T157" s="257"/>
      <c r="U157" s="257"/>
      <c r="V157" s="257"/>
      <c r="W157" s="257"/>
      <c r="X157" s="257"/>
      <c r="Y157" s="257"/>
      <c r="Z157" s="257"/>
    </row>
    <row r="158">
      <c r="A158" s="246"/>
      <c r="B158" s="246" t="s">
        <v>463</v>
      </c>
      <c r="C158" s="247" t="s">
        <v>549</v>
      </c>
      <c r="D158" s="247" t="s">
        <v>31</v>
      </c>
      <c r="E158" s="255" t="s">
        <v>550</v>
      </c>
      <c r="F158" s="123">
        <f t="shared" si="1"/>
        <v>2</v>
      </c>
      <c r="G158" s="121" t="s">
        <v>551</v>
      </c>
      <c r="H158" s="12"/>
      <c r="I158" s="192" t="str">
        <f>IFERROR(__xludf.DUMMYFUNCTION("regexreplace(lower(C158), ""_"", """")"),"apgar15min")</f>
        <v>apgar15min</v>
      </c>
      <c r="J158" s="192" t="b">
        <f t="shared" si="15"/>
        <v>1</v>
      </c>
      <c r="K158" s="192" t="str">
        <f>IFERROR(__xludf.DUMMYFUNCTION("regexreplace(G158, ""_"", """")"),"apgar15min")</f>
        <v>apgar15min</v>
      </c>
      <c r="L1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""$1$2"")"),"apgar15min")</f>
        <v>apgar15min</v>
      </c>
      <c r="M158" s="257"/>
      <c r="N158" s="260"/>
      <c r="O158" s="257"/>
      <c r="P158" s="260"/>
      <c r="Q158" s="255" t="s">
        <v>552</v>
      </c>
      <c r="R158" s="258"/>
      <c r="S158" s="255" t="s">
        <v>7392</v>
      </c>
      <c r="T158" s="257"/>
      <c r="U158" s="257"/>
      <c r="V158" s="257"/>
      <c r="W158" s="257"/>
      <c r="X158" s="257"/>
      <c r="Y158" s="257"/>
      <c r="Z158" s="257"/>
    </row>
    <row r="159">
      <c r="A159" s="246"/>
      <c r="B159" s="246" t="s">
        <v>463</v>
      </c>
      <c r="C159" s="247" t="s">
        <v>553</v>
      </c>
      <c r="D159" s="247" t="s">
        <v>31</v>
      </c>
      <c r="E159" s="255" t="s">
        <v>554</v>
      </c>
      <c r="F159" s="123">
        <f t="shared" si="1"/>
        <v>3</v>
      </c>
      <c r="G159" s="121" t="s">
        <v>555</v>
      </c>
      <c r="H159" s="12"/>
      <c r="I159" s="192" t="str">
        <f>IFERROR(__xludf.DUMMYFUNCTION("regexreplace(lower(C159), ""_"", """")"),"apgar20min")</f>
        <v>apgar20min</v>
      </c>
      <c r="J159" s="192" t="b">
        <f t="shared" si="15"/>
        <v>1</v>
      </c>
      <c r="K159" s="192" t="str">
        <f>IFERROR(__xludf.DUMMYFUNCTION("regexreplace(G159, ""_"", """")"),"apgar20min")</f>
        <v>apgar20min</v>
      </c>
      <c r="L1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""$1$2"")"),"apgar20min")</f>
        <v>apgar20min</v>
      </c>
      <c r="M159" s="257"/>
      <c r="N159" s="255"/>
      <c r="O159" s="257"/>
      <c r="P159" s="255" t="s">
        <v>556</v>
      </c>
      <c r="Q159" s="255" t="s">
        <v>557</v>
      </c>
      <c r="R159" s="258"/>
      <c r="S159" s="255" t="s">
        <v>7393</v>
      </c>
      <c r="T159" s="257"/>
      <c r="U159" s="257"/>
      <c r="V159" s="257"/>
      <c r="W159" s="257"/>
      <c r="X159" s="257"/>
      <c r="Y159" s="257"/>
      <c r="Z159" s="257"/>
    </row>
    <row r="160">
      <c r="A160" s="246"/>
      <c r="B160" s="246" t="s">
        <v>463</v>
      </c>
      <c r="C160" s="247" t="s">
        <v>558</v>
      </c>
      <c r="D160" s="247" t="s">
        <v>40</v>
      </c>
      <c r="E160" s="250" t="s">
        <v>559</v>
      </c>
      <c r="F160" s="123">
        <f t="shared" si="1"/>
        <v>2</v>
      </c>
      <c r="G160" s="121" t="s">
        <v>560</v>
      </c>
      <c r="H160" s="12"/>
      <c r="I160" s="192" t="str">
        <f>IFERROR(__xludf.DUMMYFUNCTION("regexreplace(lower(C160), ""_"", """")"),"deliveryresuscitation")</f>
        <v>deliveryresuscitation</v>
      </c>
      <c r="J160" s="192" t="b">
        <f t="shared" si="15"/>
        <v>1</v>
      </c>
      <c r="K160" s="192" t="str">
        <f>IFERROR(__xludf.DUMMYFUNCTION("regexreplace(G160, ""_"", """")"),"deliveryresuscitation")</f>
        <v>deliveryresuscitation</v>
      </c>
      <c r="L1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""$1$2"")"),"delivery_resuscitation")</f>
        <v>delivery_resuscitation</v>
      </c>
      <c r="M160" s="257"/>
      <c r="N160" s="250"/>
      <c r="O160" s="257"/>
      <c r="P160" s="250" t="s">
        <v>561</v>
      </c>
      <c r="Q160" s="261"/>
      <c r="R160" s="258"/>
      <c r="S160" s="262" t="s">
        <v>7394</v>
      </c>
      <c r="T160" s="257"/>
      <c r="U160" s="257"/>
      <c r="V160" s="257"/>
      <c r="W160" s="257"/>
      <c r="X160" s="257"/>
      <c r="Y160" s="257"/>
      <c r="Z160" s="257"/>
    </row>
    <row r="161">
      <c r="A161" s="246"/>
      <c r="B161" s="246" t="s">
        <v>463</v>
      </c>
      <c r="C161" s="247" t="s">
        <v>562</v>
      </c>
      <c r="D161" s="247" t="s">
        <v>40</v>
      </c>
      <c r="E161" s="255" t="s">
        <v>563</v>
      </c>
      <c r="F161" s="123">
        <f t="shared" si="1"/>
        <v>2</v>
      </c>
      <c r="G161" s="121" t="s">
        <v>564</v>
      </c>
      <c r="H161" s="12"/>
      <c r="I161" s="192" t="str">
        <f>IFERROR(__xludf.DUMMYFUNCTION("regexreplace(lower(C161), ""_"", """")"),"deliveryoxygen")</f>
        <v>deliveryoxygen</v>
      </c>
      <c r="J161" s="192" t="b">
        <f t="shared" si="15"/>
        <v>1</v>
      </c>
      <c r="K161" s="192" t="str">
        <f>IFERROR(__xludf.DUMMYFUNCTION("regexreplace(G161, ""_"", """")"),"deliveryoxygen")</f>
        <v>deliveryoxygen</v>
      </c>
      <c r="L1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""$1$2"")"),"delivery_oxygen")</f>
        <v>delivery_oxygen</v>
      </c>
      <c r="M161" s="257"/>
      <c r="N161" s="255"/>
      <c r="O161" s="257"/>
      <c r="P161" s="255" t="s">
        <v>565</v>
      </c>
      <c r="Q161" s="255" t="s">
        <v>566</v>
      </c>
      <c r="R161" s="258"/>
      <c r="S161" s="258"/>
      <c r="T161" s="257"/>
      <c r="U161" s="257"/>
      <c r="V161" s="257"/>
      <c r="W161" s="257"/>
      <c r="X161" s="257"/>
      <c r="Y161" s="257"/>
      <c r="Z161" s="257"/>
    </row>
    <row r="162">
      <c r="A162" s="246"/>
      <c r="B162" s="246" t="s">
        <v>463</v>
      </c>
      <c r="C162" s="247" t="s">
        <v>567</v>
      </c>
      <c r="D162" s="247" t="s">
        <v>40</v>
      </c>
      <c r="E162" s="255" t="s">
        <v>568</v>
      </c>
      <c r="F162" s="123">
        <f t="shared" si="1"/>
        <v>2</v>
      </c>
      <c r="G162" s="121" t="s">
        <v>569</v>
      </c>
      <c r="H162" s="12"/>
      <c r="I162" s="192" t="str">
        <f>IFERROR(__xludf.DUMMYFUNCTION("regexreplace(lower(C162), ""_"", """")"),"deliverybaggingandmask")</f>
        <v>deliverybaggingandmask</v>
      </c>
      <c r="J162" s="192" t="b">
        <f t="shared" si="15"/>
        <v>1</v>
      </c>
      <c r="K162" s="192" t="str">
        <f>IFERROR(__xludf.DUMMYFUNCTION("regexreplace(G162, ""_"", """")"),"deliverybaggingandmask")</f>
        <v>deliverybaggingandmask</v>
      </c>
      <c r="L1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""$1$2"")"),"delivery_bagging_and_mask")</f>
        <v>delivery_bagging_and_mask</v>
      </c>
      <c r="M162" s="257"/>
      <c r="N162" s="255"/>
      <c r="O162" s="257"/>
      <c r="P162" s="255" t="s">
        <v>570</v>
      </c>
      <c r="Q162" s="255" t="s">
        <v>571</v>
      </c>
      <c r="R162" s="258"/>
      <c r="S162" s="258"/>
      <c r="T162" s="257"/>
      <c r="U162" s="257"/>
      <c r="V162" s="257"/>
      <c r="W162" s="257"/>
      <c r="X162" s="257"/>
      <c r="Y162" s="257"/>
      <c r="Z162" s="257"/>
    </row>
    <row r="163">
      <c r="A163" s="246"/>
      <c r="B163" s="246" t="s">
        <v>463</v>
      </c>
      <c r="C163" s="247" t="s">
        <v>572</v>
      </c>
      <c r="D163" s="247" t="s">
        <v>40</v>
      </c>
      <c r="E163" s="255" t="s">
        <v>573</v>
      </c>
      <c r="F163" s="123">
        <f t="shared" si="1"/>
        <v>3</v>
      </c>
      <c r="G163" s="121" t="s">
        <v>574</v>
      </c>
      <c r="H163" s="12"/>
      <c r="I163" s="192" t="str">
        <f>IFERROR(__xludf.DUMMYFUNCTION("regexreplace(lower(C163), ""_"", """")"),"deliverychestcompression")</f>
        <v>deliverychestcompression</v>
      </c>
      <c r="J163" s="192" t="b">
        <f t="shared" si="15"/>
        <v>1</v>
      </c>
      <c r="K163" s="192" t="str">
        <f>IFERROR(__xludf.DUMMYFUNCTION("regexreplace(G163, ""_"", """")"),"deliverychestcompression")</f>
        <v>deliverychestcompression</v>
      </c>
      <c r="L1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""$1$2"")"),"delivery_chest_compression")</f>
        <v>delivery_chest_compression</v>
      </c>
      <c r="M163" s="257"/>
      <c r="N163" s="255"/>
      <c r="O163" s="248" t="s">
        <v>7395</v>
      </c>
      <c r="P163" s="255" t="s">
        <v>575</v>
      </c>
      <c r="Q163" s="255" t="s">
        <v>576</v>
      </c>
      <c r="R163" s="258"/>
      <c r="S163" s="258"/>
      <c r="T163" s="257"/>
      <c r="U163" s="257"/>
      <c r="V163" s="257"/>
      <c r="W163" s="257"/>
      <c r="X163" s="257"/>
      <c r="Y163" s="257"/>
      <c r="Z163" s="257"/>
    </row>
    <row r="164">
      <c r="A164" s="246"/>
      <c r="B164" s="246" t="s">
        <v>463</v>
      </c>
      <c r="C164" s="247" t="s">
        <v>577</v>
      </c>
      <c r="D164" s="247" t="s">
        <v>40</v>
      </c>
      <c r="E164" s="255" t="s">
        <v>578</v>
      </c>
      <c r="F164" s="123">
        <f t="shared" si="1"/>
        <v>2</v>
      </c>
      <c r="G164" s="121" t="s">
        <v>579</v>
      </c>
      <c r="H164" s="12"/>
      <c r="I164" s="192" t="str">
        <f>IFERROR(__xludf.DUMMYFUNCTION("regexreplace(lower(C164), ""_"", """")"),"deliveryintubation")</f>
        <v>deliveryintubation</v>
      </c>
      <c r="J164" s="192" t="b">
        <f t="shared" si="15"/>
        <v>1</v>
      </c>
      <c r="K164" s="192" t="str">
        <f>IFERROR(__xludf.DUMMYFUNCTION("regexreplace(G164, ""_"", """")"),"deliveryintubation")</f>
        <v>deliveryintubation</v>
      </c>
      <c r="L1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""$1$2"")"),"delivery_intubation")</f>
        <v>delivery_intubation</v>
      </c>
      <c r="M164" s="257"/>
      <c r="N164" s="255"/>
      <c r="O164" s="257"/>
      <c r="P164" s="255" t="s">
        <v>580</v>
      </c>
      <c r="Q164" s="255" t="s">
        <v>581</v>
      </c>
      <c r="R164" s="258"/>
      <c r="S164" s="258"/>
      <c r="T164" s="257"/>
      <c r="U164" s="257"/>
      <c r="V164" s="257"/>
      <c r="W164" s="257"/>
      <c r="X164" s="257"/>
      <c r="Y164" s="257"/>
      <c r="Z164" s="257"/>
    </row>
    <row r="165">
      <c r="A165" s="246"/>
      <c r="B165" s="246" t="s">
        <v>463</v>
      </c>
      <c r="C165" s="247" t="s">
        <v>582</v>
      </c>
      <c r="D165" s="247" t="s">
        <v>40</v>
      </c>
      <c r="E165" s="255" t="s">
        <v>583</v>
      </c>
      <c r="F165" s="123">
        <f t="shared" si="1"/>
        <v>2</v>
      </c>
      <c r="G165" s="121" t="s">
        <v>584</v>
      </c>
      <c r="H165" s="12"/>
      <c r="I165" s="192" t="str">
        <f>IFERROR(__xludf.DUMMYFUNCTION("regexreplace(lower(C165), ""_"", """")"),"deliverydrug")</f>
        <v>deliverydrug</v>
      </c>
      <c r="J165" s="192" t="b">
        <f t="shared" si="15"/>
        <v>1</v>
      </c>
      <c r="K165" s="192" t="str">
        <f>IFERROR(__xludf.DUMMYFUNCTION("regexreplace(G165, ""_"", """")"),"deliverydrug")</f>
        <v>deliverydrug</v>
      </c>
      <c r="L1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""$1$2"")"),"delivery_drug")</f>
        <v>delivery_drug</v>
      </c>
      <c r="M165" s="257"/>
      <c r="N165" s="255"/>
      <c r="O165" s="257"/>
      <c r="P165" s="255" t="s">
        <v>585</v>
      </c>
      <c r="Q165" s="255" t="s">
        <v>586</v>
      </c>
      <c r="R165" s="258"/>
      <c r="S165" s="258"/>
      <c r="T165" s="257"/>
      <c r="U165" s="257"/>
      <c r="V165" s="257"/>
      <c r="W165" s="257"/>
      <c r="X165" s="257"/>
      <c r="Y165" s="257"/>
      <c r="Z165" s="257"/>
    </row>
    <row r="166">
      <c r="A166" s="246"/>
      <c r="B166" s="246" t="s">
        <v>463</v>
      </c>
      <c r="C166" s="253" t="s">
        <v>7396</v>
      </c>
      <c r="D166" s="253" t="s">
        <v>31</v>
      </c>
      <c r="E166" s="263" t="s">
        <v>7397</v>
      </c>
      <c r="F166" s="123">
        <f t="shared" si="1"/>
        <v>1</v>
      </c>
      <c r="G166" s="121" t="s">
        <v>7398</v>
      </c>
      <c r="H166" s="226"/>
      <c r="I166" s="192" t="str">
        <f>IFERROR(__xludf.DUMMYFUNCTION("regexreplace(lower(C166), ""_"", """")"),"deliveryppvdurationmin")</f>
        <v>deliveryppvdurationmin</v>
      </c>
      <c r="J166" s="192" t="b">
        <f t="shared" si="15"/>
        <v>0</v>
      </c>
      <c r="K166" s="192" t="str">
        <f>IFERROR(__xludf.DUMMYFUNCTION("regexreplace(G166, ""_"", """")"),"deliveryppvduration")</f>
        <v>deliveryppvduration</v>
      </c>
      <c r="L1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""$1$2"")"),"delivery_p_p_v_duration_min")</f>
        <v>delivery_p_p_v_duration_min</v>
      </c>
      <c r="M166" s="257"/>
      <c r="N166" s="250"/>
      <c r="O166" s="257"/>
      <c r="P166" s="250"/>
      <c r="Q166" s="261"/>
      <c r="R166" s="264"/>
      <c r="S166" s="262" t="s">
        <v>7399</v>
      </c>
      <c r="T166" s="257"/>
      <c r="U166" s="257"/>
      <c r="V166" s="257"/>
      <c r="W166" s="257"/>
      <c r="X166" s="257"/>
      <c r="Y166" s="257"/>
      <c r="Z166" s="257"/>
    </row>
    <row r="167">
      <c r="A167" s="246"/>
      <c r="B167" s="246" t="s">
        <v>463</v>
      </c>
      <c r="C167" s="253" t="s">
        <v>7400</v>
      </c>
      <c r="D167" s="253" t="s">
        <v>31</v>
      </c>
      <c r="E167" s="263" t="s">
        <v>7401</v>
      </c>
      <c r="F167" s="123">
        <f t="shared" si="1"/>
        <v>1</v>
      </c>
      <c r="G167" s="121" t="s">
        <v>7402</v>
      </c>
      <c r="H167" s="226"/>
      <c r="I167" s="192" t="str">
        <f>IFERROR(__xludf.DUMMYFUNCTION("regexreplace(lower(C167), ""_"", """")"),"deliverychestcompressiondurationmin")</f>
        <v>deliverychestcompressiondurationmin</v>
      </c>
      <c r="J167" s="192" t="b">
        <f t="shared" si="15"/>
        <v>0</v>
      </c>
      <c r="K167" s="192" t="str">
        <f>IFERROR(__xludf.DUMMYFUNCTION("regexreplace(G167, ""_"", """")"),"deliverychestcompressionduration")</f>
        <v>deliverychestcompressionduration</v>
      </c>
      <c r="L1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""$1$2"")"),"delivery_chest_compression_duration_min")</f>
        <v>delivery_chest_compression_duration_min</v>
      </c>
      <c r="M167" s="257"/>
      <c r="N167" s="250"/>
      <c r="O167" s="257"/>
      <c r="P167" s="250"/>
      <c r="Q167" s="261"/>
      <c r="R167" s="264"/>
      <c r="S167" s="262" t="s">
        <v>7403</v>
      </c>
      <c r="T167" s="257"/>
      <c r="U167" s="257"/>
      <c r="V167" s="257"/>
      <c r="W167" s="257"/>
      <c r="X167" s="257"/>
      <c r="Y167" s="257"/>
      <c r="Z167" s="257"/>
    </row>
    <row r="168">
      <c r="A168" s="246"/>
      <c r="B168" s="246" t="s">
        <v>463</v>
      </c>
      <c r="C168" s="253" t="s">
        <v>7404</v>
      </c>
      <c r="D168" s="253" t="s">
        <v>16</v>
      </c>
      <c r="E168" s="263" t="s">
        <v>7405</v>
      </c>
      <c r="F168" s="123">
        <f t="shared" si="1"/>
        <v>1</v>
      </c>
      <c r="G168" s="121" t="s">
        <v>7406</v>
      </c>
      <c r="H168" s="226"/>
      <c r="I168" s="192" t="str">
        <f>IFERROR(__xludf.DUMMYFUNCTION("regexreplace(lower(C168), ""_"", """")"),"deliveryepinephrineroute")</f>
        <v>deliveryepinephrineroute</v>
      </c>
      <c r="J168" s="192" t="b">
        <f t="shared" si="15"/>
        <v>1</v>
      </c>
      <c r="K168" s="192" t="str">
        <f>IFERROR(__xludf.DUMMYFUNCTION("regexreplace(G168, ""_"", """")"),"deliveryepinephrineroute")</f>
        <v>deliveryepinephrineroute</v>
      </c>
      <c r="L1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""$1$2"")"),"delivery_epinephrine_route")</f>
        <v>delivery_epinephrine_route</v>
      </c>
      <c r="M168" s="257"/>
      <c r="N168" s="250"/>
      <c r="O168" s="257"/>
      <c r="P168" s="250"/>
      <c r="Q168" s="261"/>
      <c r="R168" s="264"/>
      <c r="S168" s="262" t="s">
        <v>7407</v>
      </c>
      <c r="T168" s="257"/>
      <c r="U168" s="257"/>
      <c r="V168" s="257"/>
      <c r="W168" s="257"/>
      <c r="X168" s="257"/>
      <c r="Y168" s="257"/>
      <c r="Z168" s="257"/>
    </row>
    <row r="169">
      <c r="A169" s="246"/>
      <c r="B169" s="246" t="s">
        <v>463</v>
      </c>
      <c r="C169" s="253" t="s">
        <v>7408</v>
      </c>
      <c r="D169" s="253" t="s">
        <v>16</v>
      </c>
      <c r="E169" s="265" t="s">
        <v>7409</v>
      </c>
      <c r="F169" s="123">
        <f t="shared" si="1"/>
        <v>1</v>
      </c>
      <c r="G169" s="121" t="s">
        <v>7410</v>
      </c>
      <c r="H169" s="226"/>
      <c r="I169" s="192" t="str">
        <f>IFERROR(__xludf.DUMMYFUNCTION("regexreplace(lower(C169), ""_"", """")"),"deliveryepinephrinerouteothertext")</f>
        <v>deliveryepinephrinerouteothertext</v>
      </c>
      <c r="J169" s="192" t="b">
        <f t="shared" si="15"/>
        <v>1</v>
      </c>
      <c r="K169" s="192" t="str">
        <f>IFERROR(__xludf.DUMMYFUNCTION("regexreplace(G169, ""_"", """")"),"deliveryepinephrinerouteothertext")</f>
        <v>deliveryepinephrinerouteothertext</v>
      </c>
      <c r="L1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""$1$2"")"),"delivery_epinephrine_route_other_text")</f>
        <v>delivery_epinephrine_route_other_text</v>
      </c>
      <c r="M169" s="257"/>
      <c r="N169" s="250"/>
      <c r="O169" s="257"/>
      <c r="P169" s="250"/>
      <c r="Q169" s="261"/>
      <c r="R169" s="264"/>
      <c r="S169" s="262" t="s">
        <v>7411</v>
      </c>
      <c r="T169" s="257"/>
      <c r="U169" s="257"/>
      <c r="V169" s="257"/>
      <c r="W169" s="257"/>
      <c r="X169" s="257"/>
      <c r="Y169" s="257"/>
      <c r="Z169" s="257"/>
    </row>
    <row r="170">
      <c r="A170" s="246"/>
      <c r="B170" s="246" t="s">
        <v>463</v>
      </c>
      <c r="C170" s="247" t="s">
        <v>587</v>
      </c>
      <c r="D170" s="247" t="s">
        <v>40</v>
      </c>
      <c r="E170" s="255" t="s">
        <v>588</v>
      </c>
      <c r="F170" s="123">
        <f t="shared" si="1"/>
        <v>3</v>
      </c>
      <c r="G170" s="121" t="s">
        <v>589</v>
      </c>
      <c r="H170" s="12"/>
      <c r="I170" s="192" t="str">
        <f>IFERROR(__xludf.DUMMYFUNCTION("regexreplace(lower(C170), ""_"", """")"),"at10mincontinueresuscitation")</f>
        <v>at10mincontinueresuscitation</v>
      </c>
      <c r="J170" s="192" t="b">
        <f t="shared" si="15"/>
        <v>1</v>
      </c>
      <c r="K170" s="192" t="str">
        <f>IFERROR(__xludf.DUMMYFUNCTION("regexreplace(G170, ""_"", """")"),"at10mincontinueresuscitation")</f>
        <v>at10mincontinueresuscitation</v>
      </c>
      <c r="L1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""$1$2"")"),"at10min_continue_resuscitation")</f>
        <v>at10min_continue_resuscitation</v>
      </c>
      <c r="M170" s="257"/>
      <c r="N170" s="255"/>
      <c r="O170" s="248" t="s">
        <v>7412</v>
      </c>
      <c r="P170" s="255" t="s">
        <v>590</v>
      </c>
      <c r="Q170" s="255" t="s">
        <v>591</v>
      </c>
      <c r="R170" s="258"/>
      <c r="S170" s="258"/>
      <c r="T170" s="257"/>
      <c r="U170" s="257"/>
      <c r="V170" s="257"/>
      <c r="W170" s="257"/>
      <c r="X170" s="257"/>
      <c r="Y170" s="257"/>
      <c r="Z170" s="257"/>
    </row>
    <row r="171">
      <c r="A171" s="246"/>
      <c r="B171" s="246" t="s">
        <v>463</v>
      </c>
      <c r="C171" s="247" t="s">
        <v>592</v>
      </c>
      <c r="D171" s="247" t="s">
        <v>40</v>
      </c>
      <c r="E171" s="255" t="s">
        <v>593</v>
      </c>
      <c r="F171" s="123">
        <f t="shared" si="1"/>
        <v>2</v>
      </c>
      <c r="G171" s="121" t="s">
        <v>594</v>
      </c>
      <c r="H171" s="12"/>
      <c r="I171" s="192" t="str">
        <f>IFERROR(__xludf.DUMMYFUNCTION("regexreplace(lower(C171), ""_"", """")"),"at10minoxygen")</f>
        <v>at10minoxygen</v>
      </c>
      <c r="J171" s="192" t="b">
        <f t="shared" si="15"/>
        <v>1</v>
      </c>
      <c r="K171" s="192" t="str">
        <f>IFERROR(__xludf.DUMMYFUNCTION("regexreplace(G171, ""_"", """")"),"at10minoxygen")</f>
        <v>at10minoxygen</v>
      </c>
      <c r="L1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""$1$2"")"),"at10min_oxygen")</f>
        <v>at10min_oxygen</v>
      </c>
      <c r="M171" s="257"/>
      <c r="N171" s="255"/>
      <c r="O171" s="257"/>
      <c r="P171" s="255" t="s">
        <v>595</v>
      </c>
      <c r="Q171" s="255" t="s">
        <v>596</v>
      </c>
      <c r="R171" s="258"/>
      <c r="S171" s="258"/>
      <c r="T171" s="257"/>
      <c r="U171" s="257"/>
      <c r="V171" s="257"/>
      <c r="W171" s="257"/>
      <c r="X171" s="257"/>
      <c r="Y171" s="257"/>
      <c r="Z171" s="257"/>
    </row>
    <row r="172">
      <c r="A172" s="246"/>
      <c r="B172" s="246" t="s">
        <v>463</v>
      </c>
      <c r="C172" s="247" t="s">
        <v>597</v>
      </c>
      <c r="D172" s="247" t="s">
        <v>40</v>
      </c>
      <c r="E172" s="255" t="s">
        <v>598</v>
      </c>
      <c r="F172" s="123">
        <f t="shared" si="1"/>
        <v>2</v>
      </c>
      <c r="G172" s="121" t="s">
        <v>599</v>
      </c>
      <c r="H172" s="12"/>
      <c r="I172" s="192" t="str">
        <f>IFERROR(__xludf.DUMMYFUNCTION("regexreplace(lower(C172), ""_"", """")"),"at10minbaggingandmask")</f>
        <v>at10minbaggingandmask</v>
      </c>
      <c r="J172" s="192" t="b">
        <f t="shared" si="15"/>
        <v>1</v>
      </c>
      <c r="K172" s="192" t="str">
        <f>IFERROR(__xludf.DUMMYFUNCTION("regexreplace(G172, ""_"", """")"),"at10minbaggingandmask")</f>
        <v>at10minbaggingandmask</v>
      </c>
      <c r="L1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""$1$2"")"),"at10min_bagging_and_mask")</f>
        <v>at10min_bagging_and_mask</v>
      </c>
      <c r="M172" s="257"/>
      <c r="N172" s="255"/>
      <c r="O172" s="257"/>
      <c r="P172" s="255" t="s">
        <v>600</v>
      </c>
      <c r="Q172" s="255" t="s">
        <v>601</v>
      </c>
      <c r="R172" s="258"/>
      <c r="S172" s="258"/>
      <c r="T172" s="257"/>
      <c r="U172" s="257"/>
      <c r="V172" s="257"/>
      <c r="W172" s="257"/>
      <c r="X172" s="257"/>
      <c r="Y172" s="257"/>
      <c r="Z172" s="257"/>
    </row>
    <row r="173">
      <c r="A173" s="246"/>
      <c r="B173" s="246" t="s">
        <v>463</v>
      </c>
      <c r="C173" s="247" t="s">
        <v>602</v>
      </c>
      <c r="D173" s="247" t="s">
        <v>40</v>
      </c>
      <c r="E173" s="255" t="s">
        <v>603</v>
      </c>
      <c r="F173" s="123">
        <f t="shared" si="1"/>
        <v>2</v>
      </c>
      <c r="G173" s="121" t="s">
        <v>604</v>
      </c>
      <c r="H173" s="12"/>
      <c r="I173" s="192" t="str">
        <f>IFERROR(__xludf.DUMMYFUNCTION("regexreplace(lower(C173), ""_"", """")"),"at10minchestcompression")</f>
        <v>at10minchestcompression</v>
      </c>
      <c r="J173" s="192" t="b">
        <f t="shared" si="15"/>
        <v>1</v>
      </c>
      <c r="K173" s="192" t="str">
        <f>IFERROR(__xludf.DUMMYFUNCTION("regexreplace(G173, ""_"", """")"),"at10minchestcompression")</f>
        <v>at10minchestcompression</v>
      </c>
      <c r="L1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""$1$2"")"),"at10min_chest_compression")</f>
        <v>at10min_chest_compression</v>
      </c>
      <c r="M173" s="257"/>
      <c r="N173" s="255"/>
      <c r="O173" s="257"/>
      <c r="P173" s="255" t="s">
        <v>605</v>
      </c>
      <c r="Q173" s="255" t="s">
        <v>606</v>
      </c>
      <c r="R173" s="258"/>
      <c r="S173" s="258"/>
      <c r="T173" s="257"/>
      <c r="U173" s="257"/>
      <c r="V173" s="257"/>
      <c r="W173" s="257"/>
      <c r="X173" s="257"/>
      <c r="Y173" s="257"/>
      <c r="Z173" s="257"/>
    </row>
    <row r="174">
      <c r="A174" s="246"/>
      <c r="B174" s="246" t="s">
        <v>463</v>
      </c>
      <c r="C174" s="247" t="s">
        <v>607</v>
      </c>
      <c r="D174" s="247" t="s">
        <v>40</v>
      </c>
      <c r="E174" s="255" t="s">
        <v>608</v>
      </c>
      <c r="F174" s="123">
        <f t="shared" si="1"/>
        <v>2</v>
      </c>
      <c r="G174" s="121" t="s">
        <v>609</v>
      </c>
      <c r="H174" s="12"/>
      <c r="I174" s="192" t="str">
        <f>IFERROR(__xludf.DUMMYFUNCTION("regexreplace(lower(C174), ""_"", """")"),"at10minintubation")</f>
        <v>at10minintubation</v>
      </c>
      <c r="J174" s="192" t="b">
        <f t="shared" si="15"/>
        <v>1</v>
      </c>
      <c r="K174" s="192" t="str">
        <f>IFERROR(__xludf.DUMMYFUNCTION("regexreplace(G174, ""_"", """")"),"at10minintubation")</f>
        <v>at10minintubation</v>
      </c>
      <c r="L1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""$1$2"")"),"at10min_intubation")</f>
        <v>at10min_intubation</v>
      </c>
      <c r="M174" s="257"/>
      <c r="N174" s="255"/>
      <c r="O174" s="257"/>
      <c r="P174" s="255" t="s">
        <v>610</v>
      </c>
      <c r="Q174" s="255" t="s">
        <v>611</v>
      </c>
      <c r="R174" s="258"/>
      <c r="S174" s="258"/>
      <c r="T174" s="257"/>
      <c r="U174" s="257"/>
      <c r="V174" s="257"/>
      <c r="W174" s="257"/>
      <c r="X174" s="257"/>
      <c r="Y174" s="257"/>
      <c r="Z174" s="257"/>
    </row>
    <row r="175">
      <c r="A175" s="246"/>
      <c r="B175" s="246" t="s">
        <v>463</v>
      </c>
      <c r="C175" s="247" t="s">
        <v>612</v>
      </c>
      <c r="D175" s="247" t="s">
        <v>40</v>
      </c>
      <c r="E175" s="255" t="s">
        <v>613</v>
      </c>
      <c r="F175" s="123">
        <f t="shared" si="1"/>
        <v>2</v>
      </c>
      <c r="G175" s="121" t="s">
        <v>614</v>
      </c>
      <c r="H175" s="12"/>
      <c r="I175" s="192" t="str">
        <f>IFERROR(__xludf.DUMMYFUNCTION("regexreplace(lower(C175), ""_"", """")"),"at10mindrug")</f>
        <v>at10mindrug</v>
      </c>
      <c r="J175" s="192" t="b">
        <f t="shared" si="15"/>
        <v>1</v>
      </c>
      <c r="K175" s="192" t="str">
        <f>IFERROR(__xludf.DUMMYFUNCTION("regexreplace(G175, ""_"", """")"),"at10mindrug")</f>
        <v>at10mindrug</v>
      </c>
      <c r="L1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""$1$2"")"),"at10min_drug")</f>
        <v>at10min_drug</v>
      </c>
      <c r="M175" s="257"/>
      <c r="N175" s="255"/>
      <c r="O175" s="257"/>
      <c r="P175" s="255" t="s">
        <v>615</v>
      </c>
      <c r="Q175" s="255" t="s">
        <v>616</v>
      </c>
      <c r="R175" s="258"/>
      <c r="S175" s="258"/>
      <c r="T175" s="257"/>
      <c r="U175" s="257"/>
      <c r="V175" s="257"/>
      <c r="W175" s="257"/>
      <c r="X175" s="257"/>
      <c r="Y175" s="257"/>
      <c r="Z175" s="257"/>
    </row>
    <row r="176">
      <c r="A176" s="246"/>
      <c r="B176" s="246" t="s">
        <v>463</v>
      </c>
      <c r="C176" s="247" t="s">
        <v>617</v>
      </c>
      <c r="D176" s="247" t="s">
        <v>617</v>
      </c>
      <c r="E176" s="255" t="s">
        <v>618</v>
      </c>
      <c r="F176" s="123">
        <f t="shared" si="1"/>
        <v>2</v>
      </c>
      <c r="G176" s="121" t="s">
        <v>619</v>
      </c>
      <c r="H176" s="12"/>
      <c r="I176" s="192" t="str">
        <f>IFERROR(__xludf.DUMMYFUNCTION("regexreplace(lower(C176), ""_"", """")"),"spontaneousrespirationtime")</f>
        <v>spontaneousrespirationtime</v>
      </c>
      <c r="J176" s="192" t="b">
        <f t="shared" si="15"/>
        <v>1</v>
      </c>
      <c r="K176" s="192" t="str">
        <f>IFERROR(__xludf.DUMMYFUNCTION("regexreplace(G176, ""_"", """")"),"spontaneousrespirationtime")</f>
        <v>spontaneousrespirationtime</v>
      </c>
      <c r="L1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""$1$2"")"),"spontaneous_respiration_time")</f>
        <v>spontaneous_respiration_time</v>
      </c>
      <c r="M176" s="257"/>
      <c r="N176" s="255"/>
      <c r="O176" s="257"/>
      <c r="P176" s="255" t="s">
        <v>620</v>
      </c>
      <c r="Q176" s="255" t="s">
        <v>621</v>
      </c>
      <c r="R176" s="258"/>
      <c r="S176" s="258"/>
      <c r="T176" s="257"/>
      <c r="U176" s="257"/>
      <c r="V176" s="257"/>
      <c r="W176" s="257"/>
      <c r="X176" s="257"/>
      <c r="Y176" s="257"/>
      <c r="Z176" s="257"/>
    </row>
    <row r="177">
      <c r="A177" s="246"/>
      <c r="B177" s="246" t="s">
        <v>463</v>
      </c>
      <c r="C177" s="247" t="s">
        <v>7413</v>
      </c>
      <c r="D177" s="247"/>
      <c r="E177" s="255"/>
      <c r="F177" s="123">
        <f t="shared" si="1"/>
        <v>1</v>
      </c>
      <c r="G177" s="121"/>
      <c r="H177" s="12"/>
      <c r="I177" s="192"/>
      <c r="J177" s="192"/>
      <c r="K177" s="192"/>
      <c r="L177" s="121"/>
      <c r="M177" s="257"/>
      <c r="N177" s="255"/>
      <c r="O177" s="257"/>
      <c r="P177" s="255"/>
      <c r="Q177" s="255"/>
      <c r="R177" s="255" t="s">
        <v>7414</v>
      </c>
      <c r="S177" s="258"/>
      <c r="T177" s="257"/>
      <c r="U177" s="257"/>
      <c r="V177" s="257"/>
      <c r="W177" s="257"/>
      <c r="X177" s="257"/>
      <c r="Y177" s="257"/>
      <c r="Z177" s="257"/>
    </row>
    <row r="178">
      <c r="A178" s="246"/>
      <c r="B178" s="246" t="s">
        <v>463</v>
      </c>
      <c r="C178" s="247" t="s">
        <v>622</v>
      </c>
      <c r="D178" s="247" t="s">
        <v>40</v>
      </c>
      <c r="E178" s="255" t="s">
        <v>623</v>
      </c>
      <c r="F178" s="123">
        <f t="shared" si="1"/>
        <v>2</v>
      </c>
      <c r="G178" s="121" t="s">
        <v>624</v>
      </c>
      <c r="H178" s="12"/>
      <c r="I178" s="192" t="str">
        <f>IFERROR(__xludf.DUMMYFUNCTION("regexreplace(lower(C178), ""_"", """")"),"cordbloodgas")</f>
        <v>cordbloodgas</v>
      </c>
      <c r="J178" s="192" t="b">
        <f t="shared" ref="J178:J193" si="16">exact(I178, K178)</f>
        <v>1</v>
      </c>
      <c r="K178" s="192" t="str">
        <f>IFERROR(__xludf.DUMMYFUNCTION("regexreplace(G178, ""_"", """")"),"cordbloodgas")</f>
        <v>cordbloodgas</v>
      </c>
      <c r="L1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""$1$2"")"),"cord_blood_gas")</f>
        <v>cord_blood_gas</v>
      </c>
      <c r="M178" s="257"/>
      <c r="N178" s="255"/>
      <c r="O178" s="257"/>
      <c r="P178" s="255" t="s">
        <v>625</v>
      </c>
      <c r="Q178" s="255" t="s">
        <v>626</v>
      </c>
      <c r="R178" s="258"/>
      <c r="S178" s="258"/>
      <c r="T178" s="257"/>
      <c r="U178" s="257"/>
      <c r="V178" s="257"/>
      <c r="W178" s="257"/>
      <c r="X178" s="257"/>
      <c r="Y178" s="257"/>
      <c r="Z178" s="257"/>
    </row>
    <row r="179">
      <c r="A179" s="246"/>
      <c r="B179" s="246" t="s">
        <v>463</v>
      </c>
      <c r="C179" s="247" t="s">
        <v>627</v>
      </c>
      <c r="D179" s="247" t="s">
        <v>627</v>
      </c>
      <c r="E179" s="255" t="s">
        <v>628</v>
      </c>
      <c r="F179" s="123">
        <f t="shared" si="1"/>
        <v>2</v>
      </c>
      <c r="G179" s="121" t="s">
        <v>629</v>
      </c>
      <c r="H179" s="12"/>
      <c r="I179" s="192" t="str">
        <f>IFERROR(__xludf.DUMMYFUNCTION("regexreplace(lower(C179), ""_"", """")"),"cordbloodgassrc")</f>
        <v>cordbloodgassrc</v>
      </c>
      <c r="J179" s="192" t="b">
        <f t="shared" si="16"/>
        <v>1</v>
      </c>
      <c r="K179" s="192" t="str">
        <f>IFERROR(__xludf.DUMMYFUNCTION("regexreplace(G179, ""_"", """")"),"cordbloodgassrc")</f>
        <v>cordbloodgassrc</v>
      </c>
      <c r="L1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""$1$2"")"),"cord_blood_gas_src")</f>
        <v>cord_blood_gas_src</v>
      </c>
      <c r="M179" s="257"/>
      <c r="N179" s="255"/>
      <c r="O179" s="257"/>
      <c r="P179" s="255" t="s">
        <v>630</v>
      </c>
      <c r="Q179" s="255" t="s">
        <v>631</v>
      </c>
      <c r="R179" s="258"/>
      <c r="S179" s="258"/>
      <c r="T179" s="257"/>
      <c r="U179" s="257"/>
      <c r="V179" s="257"/>
      <c r="W179" s="257"/>
      <c r="X179" s="257"/>
      <c r="Y179" s="257"/>
      <c r="Z179" s="257"/>
    </row>
    <row r="180">
      <c r="A180" s="246"/>
      <c r="B180" s="246" t="s">
        <v>463</v>
      </c>
      <c r="C180" s="247" t="s">
        <v>632</v>
      </c>
      <c r="D180" s="247" t="s">
        <v>483</v>
      </c>
      <c r="E180" s="255" t="s">
        <v>633</v>
      </c>
      <c r="F180" s="123">
        <f t="shared" si="1"/>
        <v>2</v>
      </c>
      <c r="G180" s="121" t="s">
        <v>634</v>
      </c>
      <c r="H180" s="12"/>
      <c r="I180" s="192" t="str">
        <f>IFERROR(__xludf.DUMMYFUNCTION("regexreplace(lower(C180), ""_"", """")"),"cordbloodgasph")</f>
        <v>cordbloodgasph</v>
      </c>
      <c r="J180" s="192" t="b">
        <f t="shared" si="16"/>
        <v>1</v>
      </c>
      <c r="K180" s="192" t="str">
        <f>IFERROR(__xludf.DUMMYFUNCTION("regexreplace(G180, ""_"", """")"),"cordbloodgasph")</f>
        <v>cordbloodgasph</v>
      </c>
      <c r="L1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""$1$2"")"),"cord_blood_gas_ph")</f>
        <v>cord_blood_gas_ph</v>
      </c>
      <c r="M180" s="257"/>
      <c r="N180" s="255"/>
      <c r="O180" s="257"/>
      <c r="P180" s="255" t="s">
        <v>635</v>
      </c>
      <c r="Q180" s="255" t="s">
        <v>636</v>
      </c>
      <c r="R180" s="258"/>
      <c r="S180" s="258"/>
      <c r="T180" s="257"/>
      <c r="U180" s="257"/>
      <c r="V180" s="257"/>
      <c r="W180" s="257"/>
      <c r="X180" s="257"/>
      <c r="Y180" s="257"/>
      <c r="Z180" s="257"/>
    </row>
    <row r="181">
      <c r="A181" s="246"/>
      <c r="B181" s="246" t="s">
        <v>463</v>
      </c>
      <c r="C181" s="247" t="s">
        <v>637</v>
      </c>
      <c r="D181" s="247" t="s">
        <v>483</v>
      </c>
      <c r="E181" s="255" t="s">
        <v>638</v>
      </c>
      <c r="F181" s="123">
        <f t="shared" si="1"/>
        <v>2</v>
      </c>
      <c r="G181" s="121" t="s">
        <v>639</v>
      </c>
      <c r="H181" s="12"/>
      <c r="I181" s="192" t="str">
        <f>IFERROR(__xludf.DUMMYFUNCTION("regexreplace(lower(C181), ""_"", """")"),"cordbloodgaspco2mmhg")</f>
        <v>cordbloodgaspco2mmhg</v>
      </c>
      <c r="J181" s="192" t="b">
        <f t="shared" si="16"/>
        <v>1</v>
      </c>
      <c r="K181" s="192" t="str">
        <f>IFERROR(__xludf.DUMMYFUNCTION("regexreplace(G181, ""_"", """")"),"cordbloodgaspco2mmhg")</f>
        <v>cordbloodgaspco2mmhg</v>
      </c>
      <c r="L1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""$1$2"")"),"cord_blood_gas_pco2__mmhg")</f>
        <v>cord_blood_gas_pco2__mmhg</v>
      </c>
      <c r="M181" s="257"/>
      <c r="N181" s="255"/>
      <c r="O181" s="257"/>
      <c r="P181" s="255" t="s">
        <v>640</v>
      </c>
      <c r="Q181" s="255" t="s">
        <v>641</v>
      </c>
      <c r="R181" s="258"/>
      <c r="S181" s="258"/>
      <c r="T181" s="257"/>
      <c r="U181" s="257"/>
      <c r="V181" s="257"/>
      <c r="W181" s="257"/>
      <c r="X181" s="257"/>
      <c r="Y181" s="257"/>
      <c r="Z181" s="257"/>
    </row>
    <row r="182">
      <c r="A182" s="246"/>
      <c r="B182" s="246" t="s">
        <v>463</v>
      </c>
      <c r="C182" s="247" t="s">
        <v>642</v>
      </c>
      <c r="D182" s="247" t="s">
        <v>483</v>
      </c>
      <c r="E182" s="255" t="s">
        <v>643</v>
      </c>
      <c r="F182" s="123">
        <f t="shared" si="1"/>
        <v>2</v>
      </c>
      <c r="G182" s="121" t="s">
        <v>644</v>
      </c>
      <c r="H182" s="12"/>
      <c r="I182" s="192" t="str">
        <f>IFERROR(__xludf.DUMMYFUNCTION("regexreplace(lower(C182), ""_"", """")"),"cordbloodgaspo2mmhg")</f>
        <v>cordbloodgaspo2mmhg</v>
      </c>
      <c r="J182" s="192" t="b">
        <f t="shared" si="16"/>
        <v>1</v>
      </c>
      <c r="K182" s="192" t="str">
        <f>IFERROR(__xludf.DUMMYFUNCTION("regexreplace(G182, ""_"", """")"),"cordbloodgaspo2mmhg")</f>
        <v>cordbloodgaspo2mmhg</v>
      </c>
      <c r="L1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""$1$2"")"),"cord_blood_gas_po2__mmhg")</f>
        <v>cord_blood_gas_po2__mmhg</v>
      </c>
      <c r="M182" s="257"/>
      <c r="N182" s="255"/>
      <c r="O182" s="257"/>
      <c r="P182" s="255" t="s">
        <v>645</v>
      </c>
      <c r="Q182" s="255" t="s">
        <v>646</v>
      </c>
      <c r="R182" s="258"/>
      <c r="S182" s="258"/>
      <c r="T182" s="257"/>
      <c r="U182" s="257"/>
      <c r="V182" s="257"/>
      <c r="W182" s="257"/>
      <c r="X182" s="257"/>
      <c r="Y182" s="257"/>
      <c r="Z182" s="257"/>
    </row>
    <row r="183">
      <c r="A183" s="246"/>
      <c r="B183" s="246" t="s">
        <v>463</v>
      </c>
      <c r="C183" s="247" t="s">
        <v>647</v>
      </c>
      <c r="D183" s="247" t="s">
        <v>483</v>
      </c>
      <c r="E183" s="255" t="s">
        <v>648</v>
      </c>
      <c r="F183" s="123">
        <f t="shared" si="1"/>
        <v>2</v>
      </c>
      <c r="G183" s="121" t="s">
        <v>649</v>
      </c>
      <c r="H183" s="12"/>
      <c r="I183" s="192" t="str">
        <f>IFERROR(__xludf.DUMMYFUNCTION("regexreplace(lower(C183), ""_"", """")"),"cordbloodgashco3meqperl")</f>
        <v>cordbloodgashco3meqperl</v>
      </c>
      <c r="J183" s="192" t="b">
        <f t="shared" si="16"/>
        <v>1</v>
      </c>
      <c r="K183" s="192" t="str">
        <f>IFERROR(__xludf.DUMMYFUNCTION("regexreplace(G183, ""_"", """")"),"cordbloodgashco3meqperl")</f>
        <v>cordbloodgashco3meqperl</v>
      </c>
      <c r="L1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""$1$2"")"),"cord_blood_gas_hco3__meqperl")</f>
        <v>cord_blood_gas_hco3__meqperl</v>
      </c>
      <c r="M183" s="257"/>
      <c r="N183" s="255"/>
      <c r="O183" s="257"/>
      <c r="P183" s="255" t="s">
        <v>650</v>
      </c>
      <c r="Q183" s="255" t="s">
        <v>651</v>
      </c>
      <c r="R183" s="258"/>
      <c r="S183" s="258"/>
      <c r="T183" s="257"/>
      <c r="U183" s="257"/>
      <c r="V183" s="257"/>
      <c r="W183" s="257"/>
      <c r="X183" s="257"/>
      <c r="Y183" s="257"/>
      <c r="Z183" s="257"/>
    </row>
    <row r="184">
      <c r="A184" s="246"/>
      <c r="B184" s="246" t="s">
        <v>463</v>
      </c>
      <c r="C184" s="247" t="s">
        <v>652</v>
      </c>
      <c r="D184" s="247" t="s">
        <v>483</v>
      </c>
      <c r="E184" s="255" t="s">
        <v>653</v>
      </c>
      <c r="F184" s="123">
        <f t="shared" si="1"/>
        <v>2</v>
      </c>
      <c r="G184" s="121" t="s">
        <v>654</v>
      </c>
      <c r="H184" s="12"/>
      <c r="I184" s="192" t="str">
        <f>IFERROR(__xludf.DUMMYFUNCTION("regexreplace(lower(C184), ""_"", """")"),"cordbloodgasbasedeficitmeqperl")</f>
        <v>cordbloodgasbasedeficitmeqperl</v>
      </c>
      <c r="J184" s="192" t="b">
        <f t="shared" si="16"/>
        <v>1</v>
      </c>
      <c r="K184" s="192" t="str">
        <f>IFERROR(__xludf.DUMMYFUNCTION("regexreplace(G184, ""_"", """")"),"cordbloodgasbasedeficitmeqperl")</f>
        <v>cordbloodgasbasedeficitmeqperl</v>
      </c>
      <c r="L1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""$1$2"")"),"cord_blood_gas_base_deficit__meqperl")</f>
        <v>cord_blood_gas_base_deficit__meqperl</v>
      </c>
      <c r="M184" s="257"/>
      <c r="N184" s="255"/>
      <c r="O184" s="257"/>
      <c r="P184" s="255" t="s">
        <v>655</v>
      </c>
      <c r="Q184" s="255" t="s">
        <v>656</v>
      </c>
      <c r="R184" s="258"/>
      <c r="S184" s="258"/>
      <c r="T184" s="257"/>
      <c r="U184" s="257"/>
      <c r="V184" s="257"/>
      <c r="W184" s="257"/>
      <c r="X184" s="257"/>
      <c r="Y184" s="257"/>
      <c r="Z184" s="257"/>
    </row>
    <row r="185">
      <c r="A185" s="246"/>
      <c r="B185" s="246" t="s">
        <v>463</v>
      </c>
      <c r="C185" s="247" t="s">
        <v>657</v>
      </c>
      <c r="D185" s="247" t="s">
        <v>40</v>
      </c>
      <c r="E185" s="255" t="s">
        <v>658</v>
      </c>
      <c r="F185" s="123">
        <f t="shared" si="1"/>
        <v>2</v>
      </c>
      <c r="G185" s="121" t="s">
        <v>659</v>
      </c>
      <c r="H185" s="12"/>
      <c r="I185" s="192" t="str">
        <f>IFERROR(__xludf.DUMMYFUNCTION("regexreplace(lower(C185), ""_"", """")"),"firstpostnatalbloodgas")</f>
        <v>firstpostnatalbloodgas</v>
      </c>
      <c r="J185" s="192" t="b">
        <f t="shared" si="16"/>
        <v>1</v>
      </c>
      <c r="K185" s="192" t="str">
        <f>IFERROR(__xludf.DUMMYFUNCTION("regexreplace(G185, ""_"", """")"),"firstpostnatalbloodgas")</f>
        <v>firstpostnatalbloodgas</v>
      </c>
      <c r="L1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""$1$2"")"),"first_postnatal_blood_gas")</f>
        <v>first_postnatal_blood_gas</v>
      </c>
      <c r="M185" s="257"/>
      <c r="N185" s="255"/>
      <c r="O185" s="257"/>
      <c r="P185" s="255" t="s">
        <v>660</v>
      </c>
      <c r="Q185" s="255" t="s">
        <v>661</v>
      </c>
      <c r="R185" s="258"/>
      <c r="S185" s="258"/>
      <c r="T185" s="257"/>
      <c r="U185" s="257"/>
      <c r="V185" s="257"/>
      <c r="W185" s="257"/>
      <c r="X185" s="257"/>
      <c r="Y185" s="257"/>
      <c r="Z185" s="257"/>
    </row>
    <row r="186">
      <c r="A186" s="246"/>
      <c r="B186" s="246" t="s">
        <v>463</v>
      </c>
      <c r="C186" s="247" t="s">
        <v>662</v>
      </c>
      <c r="D186" s="247" t="s">
        <v>663</v>
      </c>
      <c r="E186" s="255" t="s">
        <v>664</v>
      </c>
      <c r="F186" s="123">
        <f t="shared" si="1"/>
        <v>2</v>
      </c>
      <c r="G186" s="121" t="s">
        <v>665</v>
      </c>
      <c r="H186" s="12"/>
      <c r="I186" s="192" t="str">
        <f>IFERROR(__xludf.DUMMYFUNCTION("regexreplace(lower(C186), ""_"", """")"),"firstpostnatalbloodgassrc")</f>
        <v>firstpostnatalbloodgassrc</v>
      </c>
      <c r="J186" s="192" t="b">
        <f t="shared" si="16"/>
        <v>1</v>
      </c>
      <c r="K186" s="192" t="str">
        <f>IFERROR(__xludf.DUMMYFUNCTION("regexreplace(G186, ""_"", """")"),"firstpostnatalbloodgassrc")</f>
        <v>firstpostnatalbloodgassrc</v>
      </c>
      <c r="L1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""$1$2"")"),"first_postnatal_blood_gas_src")</f>
        <v>first_postnatal_blood_gas_src</v>
      </c>
      <c r="M186" s="257"/>
      <c r="N186" s="248" t="s">
        <v>7415</v>
      </c>
      <c r="O186" s="257"/>
      <c r="P186" s="255" t="s">
        <v>666</v>
      </c>
      <c r="Q186" s="255" t="s">
        <v>667</v>
      </c>
      <c r="R186" s="258"/>
      <c r="S186" s="258"/>
      <c r="T186" s="257"/>
      <c r="U186" s="257"/>
      <c r="V186" s="257"/>
      <c r="W186" s="257"/>
      <c r="X186" s="257"/>
      <c r="Y186" s="257"/>
      <c r="Z186" s="257"/>
    </row>
    <row r="187">
      <c r="A187" s="246"/>
      <c r="B187" s="246" t="s">
        <v>463</v>
      </c>
      <c r="C187" s="247" t="s">
        <v>668</v>
      </c>
      <c r="D187" s="247" t="s">
        <v>26</v>
      </c>
      <c r="E187" s="255" t="s">
        <v>669</v>
      </c>
      <c r="F187" s="123">
        <f t="shared" si="1"/>
        <v>2</v>
      </c>
      <c r="G187" s="121" t="s">
        <v>670</v>
      </c>
      <c r="H187" s="12"/>
      <c r="I187" s="192" t="str">
        <f>IFERROR(__xludf.DUMMYFUNCTION("regexreplace(lower(C187), ""_"", """")"),"firstpostnatalbloodgasdate")</f>
        <v>firstpostnatalbloodgasdate</v>
      </c>
      <c r="J187" s="192" t="b">
        <f t="shared" si="16"/>
        <v>1</v>
      </c>
      <c r="K187" s="192" t="str">
        <f>IFERROR(__xludf.DUMMYFUNCTION("regexreplace(G187, ""_"", """")"),"firstpostnatalbloodgasdate")</f>
        <v>firstpostnatalbloodgasdate</v>
      </c>
      <c r="L1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""$1$2"")"),"first_postnatal_blood_gas_date")</f>
        <v>first_postnatal_blood_gas_date</v>
      </c>
      <c r="M187" s="257"/>
      <c r="N187" s="248" t="s">
        <v>7416</v>
      </c>
      <c r="O187" s="257"/>
      <c r="P187" s="255" t="s">
        <v>671</v>
      </c>
      <c r="Q187" s="255" t="s">
        <v>672</v>
      </c>
      <c r="R187" s="258"/>
      <c r="S187" s="258"/>
      <c r="T187" s="257"/>
      <c r="U187" s="257"/>
      <c r="V187" s="257"/>
      <c r="W187" s="257"/>
      <c r="X187" s="257"/>
      <c r="Y187" s="257"/>
      <c r="Z187" s="257"/>
    </row>
    <row r="188">
      <c r="A188" s="246"/>
      <c r="B188" s="246" t="s">
        <v>463</v>
      </c>
      <c r="C188" s="247" t="s">
        <v>673</v>
      </c>
      <c r="D188" s="247" t="s">
        <v>145</v>
      </c>
      <c r="E188" s="255" t="s">
        <v>674</v>
      </c>
      <c r="F188" s="123">
        <f t="shared" si="1"/>
        <v>2</v>
      </c>
      <c r="G188" s="121" t="s">
        <v>675</v>
      </c>
      <c r="H188" s="12"/>
      <c r="I188" s="192" t="str">
        <f>IFERROR(__xludf.DUMMYFUNCTION("regexreplace(lower(C188), ""_"", """")"),"firstpostnatalbloodgastime")</f>
        <v>firstpostnatalbloodgastime</v>
      </c>
      <c r="J188" s="192" t="b">
        <f t="shared" si="16"/>
        <v>1</v>
      </c>
      <c r="K188" s="192" t="str">
        <f>IFERROR(__xludf.DUMMYFUNCTION("regexreplace(G188, ""_"", """")"),"firstpostnatalbloodgastime")</f>
        <v>firstpostnatalbloodgastime</v>
      </c>
      <c r="L1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""$1$2"")"),"first_postnatal_blood_gas_time")</f>
        <v>first_postnatal_blood_gas_time</v>
      </c>
      <c r="M188" s="257"/>
      <c r="N188" s="257"/>
      <c r="O188" s="257"/>
      <c r="P188" s="255" t="s">
        <v>676</v>
      </c>
      <c r="Q188" s="255" t="s">
        <v>677</v>
      </c>
      <c r="R188" s="258"/>
      <c r="S188" s="258"/>
      <c r="T188" s="257"/>
      <c r="U188" s="257"/>
      <c r="V188" s="257"/>
      <c r="W188" s="257"/>
      <c r="X188" s="257"/>
      <c r="Y188" s="257"/>
      <c r="Z188" s="257"/>
    </row>
    <row r="189">
      <c r="A189" s="246"/>
      <c r="B189" s="246" t="s">
        <v>463</v>
      </c>
      <c r="C189" s="247" t="s">
        <v>678</v>
      </c>
      <c r="D189" s="247" t="s">
        <v>483</v>
      </c>
      <c r="E189" s="255" t="s">
        <v>679</v>
      </c>
      <c r="F189" s="123">
        <f t="shared" si="1"/>
        <v>2</v>
      </c>
      <c r="G189" s="121" t="s">
        <v>680</v>
      </c>
      <c r="H189" s="12"/>
      <c r="I189" s="192" t="str">
        <f>IFERROR(__xludf.DUMMYFUNCTION("regexreplace(lower(C189), ""_"", """")"),"firstpostnatalbloodgasph")</f>
        <v>firstpostnatalbloodgasph</v>
      </c>
      <c r="J189" s="192" t="b">
        <f t="shared" si="16"/>
        <v>1</v>
      </c>
      <c r="K189" s="192" t="str">
        <f>IFERROR(__xludf.DUMMYFUNCTION("regexreplace(G189, ""_"", """")"),"firstpostnatalbloodgasph")</f>
        <v>firstpostnatalbloodgasph</v>
      </c>
      <c r="L1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""$1$2"")"),"first_postnatal_blood_gas_ph")</f>
        <v>first_postnatal_blood_gas_ph</v>
      </c>
      <c r="M189" s="257"/>
      <c r="N189" s="248" t="s">
        <v>7417</v>
      </c>
      <c r="P189" s="255" t="s">
        <v>681</v>
      </c>
      <c r="Q189" s="255" t="s">
        <v>682</v>
      </c>
      <c r="R189" s="258"/>
      <c r="S189" s="258"/>
      <c r="T189" s="257"/>
      <c r="U189" s="257"/>
      <c r="V189" s="257"/>
      <c r="W189" s="257"/>
      <c r="X189" s="257"/>
      <c r="Y189" s="257"/>
      <c r="Z189" s="257"/>
    </row>
    <row r="190">
      <c r="A190" s="246"/>
      <c r="B190" s="246" t="s">
        <v>463</v>
      </c>
      <c r="C190" s="247" t="s">
        <v>683</v>
      </c>
      <c r="D190" s="247" t="s">
        <v>483</v>
      </c>
      <c r="E190" s="255" t="s">
        <v>684</v>
      </c>
      <c r="F190" s="123">
        <f t="shared" si="1"/>
        <v>2</v>
      </c>
      <c r="G190" s="121" t="s">
        <v>685</v>
      </c>
      <c r="H190" s="12"/>
      <c r="I190" s="192" t="str">
        <f>IFERROR(__xludf.DUMMYFUNCTION("regexreplace(lower(C190), ""_"", """")"),"firstpostnatalbloodgaspco2mmhg")</f>
        <v>firstpostnatalbloodgaspco2mmhg</v>
      </c>
      <c r="J190" s="192" t="b">
        <f t="shared" si="16"/>
        <v>1</v>
      </c>
      <c r="K190" s="192" t="str">
        <f>IFERROR(__xludf.DUMMYFUNCTION("regexreplace(G190, ""_"", """")"),"firstpostnatalbloodgaspco2mmhg")</f>
        <v>firstpostnatalbloodgaspco2mmhg</v>
      </c>
      <c r="L1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""$1$2"")"),"first_postnatal_blood_gas_pco2__mmhg")</f>
        <v>first_postnatal_blood_gas_pco2__mmhg</v>
      </c>
      <c r="M190" s="257"/>
      <c r="N190" s="248" t="s">
        <v>7418</v>
      </c>
      <c r="O190" s="257"/>
      <c r="P190" s="255" t="s">
        <v>686</v>
      </c>
      <c r="Q190" s="255" t="s">
        <v>687</v>
      </c>
      <c r="R190" s="258"/>
      <c r="S190" s="258"/>
      <c r="T190" s="257"/>
      <c r="U190" s="257"/>
      <c r="V190" s="257"/>
      <c r="W190" s="257"/>
      <c r="X190" s="257"/>
      <c r="Y190" s="257"/>
      <c r="Z190" s="257"/>
    </row>
    <row r="191">
      <c r="A191" s="246"/>
      <c r="B191" s="246" t="s">
        <v>463</v>
      </c>
      <c r="C191" s="247" t="s">
        <v>688</v>
      </c>
      <c r="D191" s="247" t="s">
        <v>483</v>
      </c>
      <c r="E191" s="255" t="s">
        <v>689</v>
      </c>
      <c r="F191" s="123">
        <f t="shared" si="1"/>
        <v>2</v>
      </c>
      <c r="G191" s="121" t="s">
        <v>690</v>
      </c>
      <c r="H191" s="12"/>
      <c r="I191" s="192" t="str">
        <f>IFERROR(__xludf.DUMMYFUNCTION("regexreplace(lower(C191), ""_"", """")"),"firstpostnatalbloodgaspo2mmhg")</f>
        <v>firstpostnatalbloodgaspo2mmhg</v>
      </c>
      <c r="J191" s="192" t="b">
        <f t="shared" si="16"/>
        <v>1</v>
      </c>
      <c r="K191" s="192" t="str">
        <f>IFERROR(__xludf.DUMMYFUNCTION("regexreplace(G191, ""_"", """")"),"firstpostnatalbloodgaspo2mmhg")</f>
        <v>firstpostnatalbloodgaspo2mmhg</v>
      </c>
      <c r="L1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""$1$2"")"),"first_postnatal_blood_gas_po2__mmhg")</f>
        <v>first_postnatal_blood_gas_po2__mmhg</v>
      </c>
      <c r="M191" s="257"/>
      <c r="N191" s="248" t="s">
        <v>7419</v>
      </c>
      <c r="O191" s="257"/>
      <c r="P191" s="255" t="s">
        <v>691</v>
      </c>
      <c r="Q191" s="255" t="s">
        <v>692</v>
      </c>
      <c r="R191" s="258"/>
      <c r="S191" s="258"/>
      <c r="T191" s="257"/>
      <c r="U191" s="257"/>
      <c r="V191" s="257"/>
      <c r="W191" s="257"/>
      <c r="X191" s="257"/>
      <c r="Y191" s="257"/>
      <c r="Z191" s="257"/>
    </row>
    <row r="192">
      <c r="A192" s="246"/>
      <c r="B192" s="246" t="s">
        <v>463</v>
      </c>
      <c r="C192" s="247" t="s">
        <v>693</v>
      </c>
      <c r="D192" s="247" t="s">
        <v>483</v>
      </c>
      <c r="E192" s="255" t="s">
        <v>694</v>
      </c>
      <c r="F192" s="123">
        <f t="shared" si="1"/>
        <v>2</v>
      </c>
      <c r="G192" s="121" t="s">
        <v>695</v>
      </c>
      <c r="H192" s="12"/>
      <c r="I192" s="192" t="str">
        <f>IFERROR(__xludf.DUMMYFUNCTION("regexreplace(lower(C192), ""_"", """")"),"firstpostnatalbloodgashco3meqperl")</f>
        <v>firstpostnatalbloodgashco3meqperl</v>
      </c>
      <c r="J192" s="192" t="b">
        <f t="shared" si="16"/>
        <v>1</v>
      </c>
      <c r="K192" s="192" t="str">
        <f>IFERROR(__xludf.DUMMYFUNCTION("regexreplace(G192, ""_"", """")"),"firstpostnatalbloodgashco3meqperl")</f>
        <v>firstpostnatalbloodgashco3meqperl</v>
      </c>
      <c r="L1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""$1$2"")"),"first_postnatal_blood_gas_hco3__meqperl")</f>
        <v>first_postnatal_blood_gas_hco3__meqperl</v>
      </c>
      <c r="M192" s="257"/>
      <c r="N192" s="248" t="s">
        <v>7420</v>
      </c>
      <c r="O192" s="257"/>
      <c r="P192" s="255" t="s">
        <v>696</v>
      </c>
      <c r="Q192" s="255" t="s">
        <v>697</v>
      </c>
      <c r="R192" s="258"/>
      <c r="S192" s="258"/>
      <c r="T192" s="257"/>
      <c r="U192" s="257"/>
      <c r="V192" s="257"/>
      <c r="W192" s="257"/>
      <c r="X192" s="257"/>
      <c r="Y192" s="257"/>
      <c r="Z192" s="257"/>
    </row>
    <row r="193">
      <c r="A193" s="246"/>
      <c r="B193" s="246" t="s">
        <v>463</v>
      </c>
      <c r="C193" s="247" t="s">
        <v>698</v>
      </c>
      <c r="D193" s="247" t="s">
        <v>483</v>
      </c>
      <c r="E193" s="255" t="s">
        <v>699</v>
      </c>
      <c r="F193" s="123">
        <f t="shared" si="1"/>
        <v>2</v>
      </c>
      <c r="G193" s="121" t="s">
        <v>700</v>
      </c>
      <c r="H193" s="12"/>
      <c r="I193" s="192" t="str">
        <f>IFERROR(__xludf.DUMMYFUNCTION("regexreplace(lower(C193), ""_"", """")"),"firstpostnatalbloodgasbasedeficitmeqperl")</f>
        <v>firstpostnatalbloodgasbasedeficitmeqperl</v>
      </c>
      <c r="J193" s="192" t="b">
        <f t="shared" si="16"/>
        <v>1</v>
      </c>
      <c r="K193" s="192" t="str">
        <f>IFERROR(__xludf.DUMMYFUNCTION("regexreplace(G193, ""_"", """")"),"firstpostnatalbloodgasbasedeficitmeqperl")</f>
        <v>firstpostnatalbloodgasbasedeficitmeqperl</v>
      </c>
      <c r="L1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""$1$2"")"),"first_postnatal_blood_gas_base_deficit__meqperl")</f>
        <v>first_postnatal_blood_gas_base_deficit__meqperl</v>
      </c>
      <c r="M193" s="257"/>
      <c r="N193" s="248" t="s">
        <v>7421</v>
      </c>
      <c r="O193" s="257"/>
      <c r="P193" s="255" t="s">
        <v>701</v>
      </c>
      <c r="Q193" s="255" t="s">
        <v>702</v>
      </c>
      <c r="R193" s="258"/>
      <c r="S193" s="258"/>
      <c r="T193" s="257"/>
      <c r="U193" s="257"/>
      <c r="V193" s="257"/>
      <c r="W193" s="257"/>
      <c r="X193" s="257"/>
      <c r="Y193" s="257"/>
      <c r="Z193" s="257"/>
    </row>
    <row r="194">
      <c r="A194" s="246"/>
      <c r="B194" s="246" t="s">
        <v>463</v>
      </c>
      <c r="C194" s="247" t="s">
        <v>7422</v>
      </c>
      <c r="D194" s="247" t="s">
        <v>483</v>
      </c>
      <c r="E194" s="255" t="s">
        <v>7423</v>
      </c>
      <c r="F194" s="123">
        <f t="shared" si="1"/>
        <v>1</v>
      </c>
      <c r="G194" s="121"/>
      <c r="H194" s="12"/>
      <c r="I194" s="192"/>
      <c r="J194" s="192"/>
      <c r="K194" s="192"/>
      <c r="L194" s="121"/>
      <c r="M194" s="257"/>
      <c r="N194" s="248"/>
      <c r="O194" s="248" t="s">
        <v>7424</v>
      </c>
      <c r="P194" s="255"/>
      <c r="Q194" s="255"/>
      <c r="R194" s="258"/>
      <c r="S194" s="258"/>
      <c r="T194" s="257"/>
      <c r="U194" s="257"/>
      <c r="V194" s="257"/>
      <c r="W194" s="257"/>
      <c r="X194" s="257"/>
      <c r="Y194" s="257"/>
      <c r="Z194" s="257"/>
    </row>
    <row r="195">
      <c r="A195" s="246"/>
      <c r="B195" s="246" t="s">
        <v>463</v>
      </c>
      <c r="C195" s="247" t="s">
        <v>7425</v>
      </c>
      <c r="D195" s="247" t="s">
        <v>483</v>
      </c>
      <c r="E195" s="255" t="s">
        <v>7426</v>
      </c>
      <c r="F195" s="123">
        <f t="shared" si="1"/>
        <v>1</v>
      </c>
      <c r="G195" s="121"/>
      <c r="H195" s="12"/>
      <c r="I195" s="192"/>
      <c r="J195" s="192"/>
      <c r="K195" s="192"/>
      <c r="L195" s="121"/>
      <c r="M195" s="257"/>
      <c r="N195" s="248"/>
      <c r="O195" s="248" t="s">
        <v>7427</v>
      </c>
      <c r="P195" s="255"/>
      <c r="Q195" s="255"/>
      <c r="R195" s="258"/>
      <c r="S195" s="258"/>
      <c r="T195" s="257"/>
      <c r="U195" s="257"/>
      <c r="V195" s="257"/>
      <c r="W195" s="257"/>
      <c r="X195" s="257"/>
      <c r="Y195" s="257"/>
      <c r="Z195" s="257"/>
    </row>
    <row r="196">
      <c r="A196" s="33"/>
      <c r="B196" s="33"/>
      <c r="C196" s="39"/>
      <c r="D196" s="39"/>
      <c r="E196" s="15"/>
      <c r="F196" s="123">
        <f t="shared" si="1"/>
        <v>0</v>
      </c>
      <c r="G196" s="12"/>
      <c r="H196" s="39"/>
      <c r="I196" s="12"/>
      <c r="J196" s="12"/>
      <c r="K196" s="12"/>
      <c r="L196" s="12"/>
      <c r="N196" s="40"/>
      <c r="P196" s="40"/>
      <c r="Q196" s="15"/>
      <c r="R196" s="88"/>
      <c r="S196" s="88"/>
    </row>
    <row r="197">
      <c r="A197" s="189" t="s">
        <v>10</v>
      </c>
      <c r="B197" s="246" t="s">
        <v>703</v>
      </c>
      <c r="C197" s="266" t="s">
        <v>704</v>
      </c>
      <c r="D197" s="266" t="s">
        <v>705</v>
      </c>
      <c r="E197" s="255" t="s">
        <v>706</v>
      </c>
      <c r="F197" s="123">
        <f t="shared" si="1"/>
        <v>1</v>
      </c>
      <c r="G197" s="121" t="s">
        <v>7428</v>
      </c>
      <c r="H197" s="39"/>
      <c r="I197" s="192" t="str">
        <f>IFERROR(__xludf.DUMMYFUNCTION("regexreplace(lower(C197), ""_"", """")"),"targettreatmenttemperaturec")</f>
        <v>targettreatmenttemperaturec</v>
      </c>
      <c r="J197" s="192" t="b">
        <f t="shared" ref="J197:J200" si="17">exact(I197, K197)</f>
        <v>0</v>
      </c>
      <c r="K197" s="192" t="str">
        <f>IFERROR(__xludf.DUMMYFUNCTION("regexreplace(G197, ""_"", """")"),"targettreatmenttemperature")</f>
        <v>targettreatmenttemperature</v>
      </c>
      <c r="L1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""$1$2"")"),"target_treatment_temperature__c")</f>
        <v>target_treatment_temperature__c</v>
      </c>
      <c r="M197" s="257"/>
      <c r="N197" s="260"/>
      <c r="O197" s="257"/>
      <c r="P197" s="260"/>
      <c r="Q197" s="255" t="s">
        <v>708</v>
      </c>
      <c r="R197" s="258"/>
      <c r="S197" s="258"/>
      <c r="T197" s="257"/>
      <c r="U197" s="257"/>
      <c r="V197" s="257"/>
      <c r="W197" s="257"/>
      <c r="X197" s="257"/>
      <c r="Y197" s="257"/>
      <c r="Z197" s="257"/>
    </row>
    <row r="198">
      <c r="A198" s="246"/>
      <c r="B198" s="246" t="s">
        <v>703</v>
      </c>
      <c r="C198" s="247" t="s">
        <v>709</v>
      </c>
      <c r="D198" s="247" t="s">
        <v>40</v>
      </c>
      <c r="E198" s="255" t="s">
        <v>710</v>
      </c>
      <c r="F198" s="123">
        <f t="shared" si="1"/>
        <v>1</v>
      </c>
      <c r="G198" s="121" t="s">
        <v>7429</v>
      </c>
      <c r="H198" s="12"/>
      <c r="I198" s="192" t="str">
        <f>IFERROR(__xludf.DUMMYFUNCTION("regexreplace(lower(C198), ""_"", """")"),"precoolinitiate")</f>
        <v>precoolinitiate</v>
      </c>
      <c r="J198" s="192" t="b">
        <f t="shared" si="17"/>
        <v>0</v>
      </c>
      <c r="K198" s="192" t="str">
        <f>IFERROR(__xludf.DUMMYFUNCTION("regexreplace(G198, ""_"", """")"),"beforebaselinecoolinitiate")</f>
        <v>beforebaselinecoolinitiate</v>
      </c>
      <c r="L1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""$1$2"")"),"pre__cool_initiate")</f>
        <v>pre__cool_initiate</v>
      </c>
      <c r="M198" s="257"/>
      <c r="N198" s="260"/>
      <c r="O198" s="257"/>
      <c r="P198" s="260"/>
      <c r="Q198" s="255" t="s">
        <v>712</v>
      </c>
      <c r="R198" s="258"/>
      <c r="S198" s="258"/>
      <c r="T198" s="257"/>
      <c r="U198" s="257"/>
      <c r="V198" s="257"/>
      <c r="W198" s="257"/>
      <c r="X198" s="257"/>
      <c r="Y198" s="257"/>
      <c r="Z198" s="257"/>
    </row>
    <row r="199">
      <c r="A199" s="246"/>
      <c r="B199" s="246" t="s">
        <v>703</v>
      </c>
      <c r="C199" s="247" t="s">
        <v>713</v>
      </c>
      <c r="D199" s="247" t="s">
        <v>40</v>
      </c>
      <c r="E199" s="255" t="s">
        <v>714</v>
      </c>
      <c r="F199" s="123">
        <f t="shared" si="1"/>
        <v>1</v>
      </c>
      <c r="G199" s="121" t="s">
        <v>7430</v>
      </c>
      <c r="H199" s="12"/>
      <c r="I199" s="192" t="str">
        <f>IFERROR(__xludf.DUMMYFUNCTION("regexreplace(lower(C199), ""_"", """")"),"precoolbyicegelpack")</f>
        <v>precoolbyicegelpack</v>
      </c>
      <c r="J199" s="192" t="b">
        <f t="shared" si="17"/>
        <v>0</v>
      </c>
      <c r="K199" s="192" t="str">
        <f>IFERROR(__xludf.DUMMYFUNCTION("regexreplace(G199, ""_"", """")"),"beforebaselinecoolbyicegelpack")</f>
        <v>beforebaselinecoolbyicegelpack</v>
      </c>
      <c r="L1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""$1$2"")"),"pre__coolby_ice_gel_pack")</f>
        <v>pre__coolby_ice_gel_pack</v>
      </c>
      <c r="M199" s="257"/>
      <c r="N199" s="260"/>
      <c r="O199" s="257"/>
      <c r="P199" s="260"/>
      <c r="Q199" s="255" t="s">
        <v>716</v>
      </c>
      <c r="R199" s="258"/>
      <c r="S199" s="258"/>
      <c r="T199" s="257"/>
      <c r="U199" s="257"/>
      <c r="V199" s="257"/>
      <c r="W199" s="257"/>
      <c r="X199" s="257"/>
      <c r="Y199" s="257"/>
      <c r="Z199" s="257"/>
    </row>
    <row r="200">
      <c r="A200" s="246"/>
      <c r="B200" s="246" t="s">
        <v>703</v>
      </c>
      <c r="C200" s="247" t="s">
        <v>717</v>
      </c>
      <c r="D200" s="247" t="s">
        <v>40</v>
      </c>
      <c r="E200" s="255" t="s">
        <v>718</v>
      </c>
      <c r="F200" s="123">
        <f t="shared" si="1"/>
        <v>2</v>
      </c>
      <c r="G200" s="121" t="s">
        <v>7431</v>
      </c>
      <c r="H200" s="12"/>
      <c r="I200" s="192" t="str">
        <f>IFERROR(__xludf.DUMMYFUNCTION("regexreplace(lower(C200), ""_"", """")"),"precoolpassively")</f>
        <v>precoolpassively</v>
      </c>
      <c r="J200" s="192" t="b">
        <f t="shared" si="17"/>
        <v>0</v>
      </c>
      <c r="K200" s="192" t="str">
        <f>IFERROR(__xludf.DUMMYFUNCTION("regexreplace(G200, ""_"", """")"),"beforebaselinecoolpassively")</f>
        <v>beforebaselinecoolpassively</v>
      </c>
      <c r="L2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""$1$2"")"),"pre__cool_passively")</f>
        <v>pre__cool_passively</v>
      </c>
      <c r="M200" s="257"/>
      <c r="N200" s="255"/>
      <c r="O200" s="257"/>
      <c r="P200" s="260"/>
      <c r="Q200" s="255" t="s">
        <v>720</v>
      </c>
      <c r="R200" s="258"/>
      <c r="S200" s="255" t="s">
        <v>7432</v>
      </c>
      <c r="T200" s="257"/>
      <c r="U200" s="257"/>
      <c r="V200" s="257"/>
      <c r="W200" s="257"/>
      <c r="X200" s="257"/>
      <c r="Y200" s="257"/>
      <c r="Z200" s="257"/>
    </row>
    <row r="201">
      <c r="A201" s="246"/>
      <c r="B201" s="246" t="s">
        <v>703</v>
      </c>
      <c r="C201" s="247" t="s">
        <v>7433</v>
      </c>
      <c r="D201" s="247"/>
      <c r="E201" s="255"/>
      <c r="F201" s="123">
        <f t="shared" si="1"/>
        <v>0</v>
      </c>
      <c r="G201" s="121" t="s">
        <v>7434</v>
      </c>
      <c r="H201" s="12"/>
      <c r="I201" s="192"/>
      <c r="J201" s="192"/>
      <c r="K201" s="192"/>
      <c r="L201" s="121"/>
      <c r="M201" s="257"/>
      <c r="N201" s="255"/>
      <c r="O201" s="257"/>
      <c r="P201" s="260"/>
      <c r="Q201" s="255"/>
      <c r="R201" s="258"/>
      <c r="S201" s="258"/>
      <c r="T201" s="257"/>
      <c r="U201" s="257"/>
      <c r="V201" s="257"/>
      <c r="W201" s="257"/>
      <c r="X201" s="257"/>
      <c r="Y201" s="257"/>
      <c r="Z201" s="257"/>
    </row>
    <row r="202">
      <c r="A202" s="246"/>
      <c r="B202" s="246" t="s">
        <v>703</v>
      </c>
      <c r="C202" s="247" t="s">
        <v>721</v>
      </c>
      <c r="D202" s="247" t="s">
        <v>40</v>
      </c>
      <c r="E202" s="255" t="s">
        <v>722</v>
      </c>
      <c r="F202" s="123">
        <f t="shared" si="1"/>
        <v>1</v>
      </c>
      <c r="G202" s="121" t="s">
        <v>7435</v>
      </c>
      <c r="H202" s="12"/>
      <c r="I202" s="192" t="str">
        <f>IFERROR(__xludf.DUMMYFUNCTION("regexreplace(lower(C202), ""_"", """")"),"precoolclinically")</f>
        <v>precoolclinically</v>
      </c>
      <c r="J202" s="192" t="b">
        <f t="shared" ref="J202:J219" si="18">exact(I202, K202)</f>
        <v>0</v>
      </c>
      <c r="K202" s="192" t="str">
        <f>IFERROR(__xludf.DUMMYFUNCTION("regexreplace(G202, ""_"", """")"),"beforebaselinecoolclinically")</f>
        <v>beforebaselinecoolclinically</v>
      </c>
      <c r="L2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""$1$2"")"),"pre__cool_clinically")</f>
        <v>pre__cool_clinically</v>
      </c>
      <c r="M202" s="257"/>
      <c r="N202" s="255"/>
      <c r="O202" s="257"/>
      <c r="P202" s="260"/>
      <c r="Q202" s="255" t="s">
        <v>724</v>
      </c>
      <c r="R202" s="258"/>
      <c r="S202" s="258"/>
      <c r="T202" s="257"/>
      <c r="U202" s="257"/>
      <c r="V202" s="257"/>
      <c r="W202" s="257"/>
      <c r="X202" s="257"/>
      <c r="Y202" s="257"/>
      <c r="Z202" s="257"/>
    </row>
    <row r="203">
      <c r="A203" s="246"/>
      <c r="B203" s="246" t="s">
        <v>703</v>
      </c>
      <c r="C203" s="247" t="s">
        <v>725</v>
      </c>
      <c r="D203" s="247" t="s">
        <v>26</v>
      </c>
      <c r="E203" s="259" t="s">
        <v>726</v>
      </c>
      <c r="F203" s="123">
        <f t="shared" si="1"/>
        <v>1</v>
      </c>
      <c r="G203" s="121" t="s">
        <v>7436</v>
      </c>
      <c r="H203" s="12"/>
      <c r="I203" s="192" t="str">
        <f>IFERROR(__xludf.DUMMYFUNCTION("regexreplace(lower(C203), ""_"", """")"),"precoolinitiatedate")</f>
        <v>precoolinitiatedate</v>
      </c>
      <c r="J203" s="192" t="b">
        <f t="shared" si="18"/>
        <v>0</v>
      </c>
      <c r="K203" s="192" t="str">
        <f>IFERROR(__xludf.DUMMYFUNCTION("regexreplace(G203, ""_"", """")"),"beforebaselinecoolinitiatedate")</f>
        <v>beforebaselinecoolinitiatedate</v>
      </c>
      <c r="L2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""$1$2"")"),"pre__cool_initiate_date")</f>
        <v>pre__cool_initiate_date</v>
      </c>
      <c r="M203" s="257"/>
      <c r="N203" s="267" t="s">
        <v>7416</v>
      </c>
      <c r="O203" s="257"/>
      <c r="P203" s="260"/>
      <c r="Q203" s="255" t="s">
        <v>728</v>
      </c>
      <c r="R203" s="258"/>
      <c r="S203" s="258"/>
      <c r="T203" s="257"/>
      <c r="U203" s="257"/>
      <c r="V203" s="257"/>
      <c r="W203" s="257"/>
      <c r="X203" s="257"/>
      <c r="Y203" s="257"/>
      <c r="Z203" s="257"/>
    </row>
    <row r="204">
      <c r="A204" s="246"/>
      <c r="B204" s="246" t="s">
        <v>703</v>
      </c>
      <c r="C204" s="247" t="s">
        <v>729</v>
      </c>
      <c r="D204" s="247" t="s">
        <v>145</v>
      </c>
      <c r="E204" s="259" t="s">
        <v>730</v>
      </c>
      <c r="F204" s="123">
        <f t="shared" si="1"/>
        <v>1</v>
      </c>
      <c r="G204" s="121" t="s">
        <v>7437</v>
      </c>
      <c r="H204" s="12"/>
      <c r="I204" s="192" t="str">
        <f>IFERROR(__xludf.DUMMYFUNCTION("regexreplace(lower(C204), ""_"", """")"),"precoolinitiatetime")</f>
        <v>precoolinitiatetime</v>
      </c>
      <c r="J204" s="192" t="b">
        <f t="shared" si="18"/>
        <v>0</v>
      </c>
      <c r="K204" s="192" t="str">
        <f>IFERROR(__xludf.DUMMYFUNCTION("regexreplace(G204, ""_"", """")"),"beforebaselinecoolinitiatetime")</f>
        <v>beforebaselinecoolinitiatetime</v>
      </c>
      <c r="L2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""$1$2"")"),"pre__cool_initiate_time")</f>
        <v>pre__cool_initiate_time</v>
      </c>
      <c r="M204" s="257"/>
      <c r="N204" s="255"/>
      <c r="O204" s="257"/>
      <c r="P204" s="260"/>
      <c r="Q204" s="255" t="s">
        <v>732</v>
      </c>
      <c r="R204" s="258"/>
      <c r="S204" s="258"/>
      <c r="T204" s="257"/>
      <c r="U204" s="257"/>
      <c r="V204" s="257"/>
      <c r="W204" s="257"/>
      <c r="X204" s="257"/>
      <c r="Y204" s="257"/>
      <c r="Z204" s="257"/>
    </row>
    <row r="205">
      <c r="A205" s="246"/>
      <c r="B205" s="246" t="s">
        <v>703</v>
      </c>
      <c r="C205" s="247" t="s">
        <v>733</v>
      </c>
      <c r="D205" s="247" t="s">
        <v>40</v>
      </c>
      <c r="E205" s="259" t="s">
        <v>734</v>
      </c>
      <c r="F205" s="123">
        <f t="shared" si="1"/>
        <v>1</v>
      </c>
      <c r="G205" s="121" t="s">
        <v>7438</v>
      </c>
      <c r="H205" s="12"/>
      <c r="I205" s="192" t="str">
        <f>IFERROR(__xludf.DUMMYFUNCTION("regexreplace(lower(C205), ""_"", """")"),"preafterovershootreach33p5c")</f>
        <v>preafterovershootreach33p5c</v>
      </c>
      <c r="J205" s="192" t="b">
        <f t="shared" si="18"/>
        <v>0</v>
      </c>
      <c r="K205" s="192" t="str">
        <f>IFERROR(__xludf.DUMMYFUNCTION("regexreplace(G205, ""_"", """")"),"beforebaselineafterovershootreach33p5c")</f>
        <v>beforebaselineafterovershootreach33p5c</v>
      </c>
      <c r="L2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""$1$2"")"),"pre__after_overshoot_reach33p5c")</f>
        <v>pre__after_overshoot_reach33p5c</v>
      </c>
      <c r="M205" s="257"/>
      <c r="N205" s="255"/>
      <c r="O205" s="257"/>
      <c r="P205" s="260"/>
      <c r="Q205" s="255" t="s">
        <v>736</v>
      </c>
      <c r="R205" s="258"/>
      <c r="S205" s="258"/>
      <c r="T205" s="257"/>
      <c r="U205" s="257"/>
      <c r="V205" s="257"/>
      <c r="W205" s="257"/>
      <c r="X205" s="257"/>
      <c r="Y205" s="257"/>
      <c r="Z205" s="257"/>
    </row>
    <row r="206">
      <c r="A206" s="246"/>
      <c r="B206" s="246" t="s">
        <v>703</v>
      </c>
      <c r="C206" s="247" t="s">
        <v>737</v>
      </c>
      <c r="D206" s="247" t="s">
        <v>26</v>
      </c>
      <c r="E206" s="259" t="s">
        <v>738</v>
      </c>
      <c r="F206" s="123">
        <f t="shared" si="1"/>
        <v>1</v>
      </c>
      <c r="G206" s="121" t="s">
        <v>7439</v>
      </c>
      <c r="H206" s="12"/>
      <c r="I206" s="192" t="str">
        <f>IFERROR(__xludf.DUMMYFUNCTION("regexreplace(lower(C206), ""_"", """")"),"preafterovershootreach33p5cdate")</f>
        <v>preafterovershootreach33p5cdate</v>
      </c>
      <c r="J206" s="192" t="b">
        <f t="shared" si="18"/>
        <v>0</v>
      </c>
      <c r="K206" s="192" t="str">
        <f>IFERROR(__xludf.DUMMYFUNCTION("regexreplace(G206, ""_"", """")"),"beforebaselineafterovershootreach33p5cdate")</f>
        <v>beforebaselineafterovershootreach33p5cdate</v>
      </c>
      <c r="L2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""$1$2"")"),"pre__after_overshoot_reach33p5c_date")</f>
        <v>pre__after_overshoot_reach33p5c_date</v>
      </c>
      <c r="M206" s="257"/>
      <c r="N206" s="267" t="s">
        <v>7416</v>
      </c>
      <c r="O206" s="257"/>
      <c r="P206" s="260"/>
      <c r="Q206" s="255" t="s">
        <v>740</v>
      </c>
      <c r="R206" s="258"/>
      <c r="S206" s="258"/>
      <c r="T206" s="257"/>
      <c r="U206" s="257"/>
      <c r="V206" s="257"/>
      <c r="W206" s="257"/>
      <c r="X206" s="257"/>
      <c r="Y206" s="257"/>
      <c r="Z206" s="257"/>
    </row>
    <row r="207">
      <c r="A207" s="246"/>
      <c r="B207" s="246" t="s">
        <v>703</v>
      </c>
      <c r="C207" s="247" t="s">
        <v>741</v>
      </c>
      <c r="D207" s="247" t="s">
        <v>145</v>
      </c>
      <c r="E207" s="259" t="s">
        <v>742</v>
      </c>
      <c r="F207" s="123">
        <f t="shared" si="1"/>
        <v>1</v>
      </c>
      <c r="G207" s="121" t="s">
        <v>7440</v>
      </c>
      <c r="H207" s="12"/>
      <c r="I207" s="192" t="str">
        <f>IFERROR(__xludf.DUMMYFUNCTION("regexreplace(lower(C207), ""_"", """")"),"preafterovershootreach33p5ctime")</f>
        <v>preafterovershootreach33p5ctime</v>
      </c>
      <c r="J207" s="192" t="b">
        <f t="shared" si="18"/>
        <v>0</v>
      </c>
      <c r="K207" s="192" t="str">
        <f>IFERROR(__xludf.DUMMYFUNCTION("regexreplace(G207, ""_"", """")"),"beforebaselineafterovershootreach33p5ctime")</f>
        <v>beforebaselineafterovershootreach33p5ctime</v>
      </c>
      <c r="L2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""$1$2"")"),"pre__after_overshoot_reach33p5ctime")</f>
        <v>pre__after_overshoot_reach33p5ctime</v>
      </c>
      <c r="M207" s="257"/>
      <c r="N207" s="255"/>
      <c r="O207" s="257"/>
      <c r="P207" s="260"/>
      <c r="Q207" s="255" t="s">
        <v>744</v>
      </c>
      <c r="R207" s="258"/>
      <c r="S207" s="258"/>
      <c r="T207" s="257"/>
      <c r="U207" s="257"/>
      <c r="V207" s="257"/>
      <c r="W207" s="257"/>
      <c r="X207" s="257"/>
      <c r="Y207" s="257"/>
      <c r="Z207" s="257"/>
    </row>
    <row r="208">
      <c r="A208" s="246"/>
      <c r="B208" s="246" t="s">
        <v>703</v>
      </c>
      <c r="C208" s="247" t="s">
        <v>745</v>
      </c>
      <c r="D208" s="247" t="s">
        <v>26</v>
      </c>
      <c r="E208" s="259" t="s">
        <v>746</v>
      </c>
      <c r="F208" s="123">
        <f t="shared" si="1"/>
        <v>1</v>
      </c>
      <c r="G208" s="121" t="s">
        <v>7441</v>
      </c>
      <c r="H208" s="12" t="s">
        <v>748</v>
      </c>
      <c r="I208" s="192" t="str">
        <f>IFERROR(__xludf.DUMMYFUNCTION("regexreplace(lower(C208), ""_"", """")"),"pretemperaturemindate")</f>
        <v>pretemperaturemindate</v>
      </c>
      <c r="J208" s="192" t="b">
        <f t="shared" si="18"/>
        <v>0</v>
      </c>
      <c r="K208" s="192" t="str">
        <f>IFERROR(__xludf.DUMMYFUNCTION("regexreplace(G208, ""_"", """")"),"beforebaselinetemperaturemindate")</f>
        <v>beforebaselinetemperaturemindate</v>
      </c>
      <c r="L2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""$1$2"")"),"pre__temperature_min_date")</f>
        <v>pre__temperature_min_date</v>
      </c>
      <c r="M208" s="257"/>
      <c r="N208" s="267" t="s">
        <v>7416</v>
      </c>
      <c r="O208" s="257"/>
      <c r="P208" s="260"/>
      <c r="Q208" s="255" t="s">
        <v>749</v>
      </c>
      <c r="R208" s="258"/>
      <c r="S208" s="258"/>
      <c r="T208" s="257"/>
      <c r="U208" s="257"/>
      <c r="V208" s="257"/>
      <c r="W208" s="257"/>
      <c r="X208" s="257"/>
      <c r="Y208" s="257"/>
      <c r="Z208" s="257"/>
    </row>
    <row r="209">
      <c r="A209" s="246"/>
      <c r="B209" s="246" t="s">
        <v>703</v>
      </c>
      <c r="C209" s="247" t="s">
        <v>750</v>
      </c>
      <c r="D209" s="247" t="s">
        <v>145</v>
      </c>
      <c r="E209" s="259" t="s">
        <v>751</v>
      </c>
      <c r="F209" s="123">
        <f t="shared" si="1"/>
        <v>1</v>
      </c>
      <c r="G209" s="121" t="s">
        <v>7442</v>
      </c>
      <c r="H209" s="12" t="s">
        <v>748</v>
      </c>
      <c r="I209" s="192" t="str">
        <f>IFERROR(__xludf.DUMMYFUNCTION("regexreplace(lower(C209), ""_"", """")"),"pretemperaturemintime")</f>
        <v>pretemperaturemintime</v>
      </c>
      <c r="J209" s="192" t="b">
        <f t="shared" si="18"/>
        <v>0</v>
      </c>
      <c r="K209" s="192" t="str">
        <f>IFERROR(__xludf.DUMMYFUNCTION("regexreplace(G209, ""_"", """")"),"beforebaselinetemperaturemintime")</f>
        <v>beforebaselinetemperaturemintime</v>
      </c>
      <c r="L2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""$1$2"")"),"pre__temperature_min_time")</f>
        <v>pre__temperature_min_time</v>
      </c>
      <c r="M209" s="257"/>
      <c r="N209" s="255"/>
      <c r="O209" s="257"/>
      <c r="P209" s="260"/>
      <c r="Q209" s="255" t="s">
        <v>753</v>
      </c>
      <c r="R209" s="258"/>
      <c r="S209" s="258"/>
      <c r="T209" s="257"/>
      <c r="U209" s="257"/>
      <c r="V209" s="257"/>
      <c r="W209" s="257"/>
      <c r="X209" s="257"/>
      <c r="Y209" s="257"/>
      <c r="Z209" s="257"/>
    </row>
    <row r="210">
      <c r="A210" s="246"/>
      <c r="B210" s="246" t="s">
        <v>703</v>
      </c>
      <c r="C210" s="247" t="s">
        <v>754</v>
      </c>
      <c r="D210" s="247" t="s">
        <v>483</v>
      </c>
      <c r="E210" s="255" t="s">
        <v>755</v>
      </c>
      <c r="F210" s="123">
        <f t="shared" si="1"/>
        <v>1</v>
      </c>
      <c r="G210" s="121" t="s">
        <v>7443</v>
      </c>
      <c r="H210" s="12" t="s">
        <v>748</v>
      </c>
      <c r="I210" s="192" t="str">
        <f>IFERROR(__xludf.DUMMYFUNCTION("regexreplace(lower(C210), ""_"", """")"),"preskintemperatureminc")</f>
        <v>preskintemperatureminc</v>
      </c>
      <c r="J210" s="192" t="b">
        <f t="shared" si="18"/>
        <v>0</v>
      </c>
      <c r="K210" s="192" t="str">
        <f>IFERROR(__xludf.DUMMYFUNCTION("regexreplace(G210, ""_"", """")"),"beforebaselineskintemperaturemin")</f>
        <v>beforebaselineskintemperaturemin</v>
      </c>
      <c r="L2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""$1$2"")"),"pre__skin_temperature_min__c")</f>
        <v>pre__skin_temperature_min__c</v>
      </c>
      <c r="M210" s="257"/>
      <c r="N210" s="255" t="s">
        <v>7444</v>
      </c>
      <c r="O210" s="257"/>
      <c r="P210" s="260"/>
      <c r="Q210" s="255" t="s">
        <v>757</v>
      </c>
      <c r="R210" s="258"/>
      <c r="S210" s="258"/>
      <c r="T210" s="257"/>
      <c r="U210" s="257"/>
      <c r="V210" s="257"/>
      <c r="W210" s="257"/>
      <c r="X210" s="257"/>
      <c r="Y210" s="257"/>
      <c r="Z210" s="257"/>
    </row>
    <row r="211">
      <c r="A211" s="246"/>
      <c r="B211" s="246" t="s">
        <v>703</v>
      </c>
      <c r="C211" s="247" t="s">
        <v>758</v>
      </c>
      <c r="D211" s="247" t="s">
        <v>483</v>
      </c>
      <c r="E211" s="255" t="s">
        <v>759</v>
      </c>
      <c r="F211" s="123">
        <f t="shared" si="1"/>
        <v>1</v>
      </c>
      <c r="G211" s="121" t="s">
        <v>7445</v>
      </c>
      <c r="H211" s="12" t="s">
        <v>748</v>
      </c>
      <c r="I211" s="192" t="str">
        <f>IFERROR(__xludf.DUMMYFUNCTION("regexreplace(lower(C211), ""_"", """")"),"preaxillarytemperatureminc")</f>
        <v>preaxillarytemperatureminc</v>
      </c>
      <c r="J211" s="192" t="b">
        <f t="shared" si="18"/>
        <v>0</v>
      </c>
      <c r="K211" s="192" t="str">
        <f>IFERROR(__xludf.DUMMYFUNCTION("regexreplace(G211, ""_"", """")"),"beforebaselineaxillarytemperaturemin")</f>
        <v>beforebaselineaxillarytemperaturemin</v>
      </c>
      <c r="L2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""$1$2"")"),"pre__axillary_temperature_min__c")</f>
        <v>pre__axillary_temperature_min__c</v>
      </c>
      <c r="M211" s="257"/>
      <c r="N211" s="255" t="s">
        <v>7444</v>
      </c>
      <c r="O211" s="257"/>
      <c r="P211" s="260"/>
      <c r="Q211" s="255" t="s">
        <v>761</v>
      </c>
      <c r="R211" s="258"/>
      <c r="S211" s="258"/>
      <c r="T211" s="257"/>
      <c r="U211" s="257"/>
      <c r="V211" s="257"/>
      <c r="W211" s="257"/>
      <c r="X211" s="257"/>
      <c r="Y211" s="257"/>
      <c r="Z211" s="257"/>
    </row>
    <row r="212">
      <c r="A212" s="246"/>
      <c r="B212" s="246" t="s">
        <v>703</v>
      </c>
      <c r="C212" s="247" t="s">
        <v>762</v>
      </c>
      <c r="D212" s="247" t="s">
        <v>483</v>
      </c>
      <c r="E212" s="255" t="s">
        <v>763</v>
      </c>
      <c r="F212" s="123">
        <f t="shared" si="1"/>
        <v>1</v>
      </c>
      <c r="G212" s="121" t="s">
        <v>7446</v>
      </c>
      <c r="H212" s="12" t="s">
        <v>748</v>
      </c>
      <c r="I212" s="192" t="str">
        <f>IFERROR(__xludf.DUMMYFUNCTION("regexreplace(lower(C212), ""_"", """")"),"preesophagealtemperatureminc")</f>
        <v>preesophagealtemperatureminc</v>
      </c>
      <c r="J212" s="192" t="b">
        <f t="shared" si="18"/>
        <v>0</v>
      </c>
      <c r="K212" s="192" t="str">
        <f>IFERROR(__xludf.DUMMYFUNCTION("regexreplace(G212, ""_"", """")"),"beforebaselineesophagealtemperaturemin")</f>
        <v>beforebaselineesophagealtemperaturemin</v>
      </c>
      <c r="L2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""$1$2"")"),"pre__esophageal_temperature_min__c")</f>
        <v>pre__esophageal_temperature_min__c</v>
      </c>
      <c r="M212" s="257"/>
      <c r="N212" s="255" t="s">
        <v>7444</v>
      </c>
      <c r="O212" s="257"/>
      <c r="P212" s="260"/>
      <c r="Q212" s="255" t="s">
        <v>765</v>
      </c>
      <c r="R212" s="258"/>
      <c r="S212" s="258"/>
      <c r="T212" s="257"/>
      <c r="U212" s="257"/>
      <c r="V212" s="257"/>
      <c r="W212" s="257"/>
      <c r="X212" s="257"/>
      <c r="Y212" s="257"/>
      <c r="Z212" s="257"/>
    </row>
    <row r="213">
      <c r="A213" s="246"/>
      <c r="B213" s="246" t="s">
        <v>703</v>
      </c>
      <c r="C213" s="247" t="s">
        <v>766</v>
      </c>
      <c r="D213" s="247" t="s">
        <v>483</v>
      </c>
      <c r="E213" s="255" t="s">
        <v>767</v>
      </c>
      <c r="F213" s="123">
        <f t="shared" si="1"/>
        <v>1</v>
      </c>
      <c r="G213" s="121" t="s">
        <v>7447</v>
      </c>
      <c r="H213" s="12" t="s">
        <v>748</v>
      </c>
      <c r="I213" s="192" t="str">
        <f>IFERROR(__xludf.DUMMYFUNCTION("regexreplace(lower(C213), ""_"", """")"),"preservosetminc")</f>
        <v>preservosetminc</v>
      </c>
      <c r="J213" s="192" t="b">
        <f t="shared" si="18"/>
        <v>0</v>
      </c>
      <c r="K213" s="192" t="str">
        <f>IFERROR(__xludf.DUMMYFUNCTION("regexreplace(G213, ""_"", """")"),"beforebaselineservosetmin")</f>
        <v>beforebaselineservosetmin</v>
      </c>
      <c r="L2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""$1$2"")"),"pre__servo_set_min__c")</f>
        <v>pre__servo_set_min__c</v>
      </c>
      <c r="M213" s="257"/>
      <c r="N213" s="255"/>
      <c r="O213" s="257"/>
      <c r="P213" s="260"/>
      <c r="Q213" s="255" t="s">
        <v>769</v>
      </c>
      <c r="R213" s="258"/>
      <c r="S213" s="258"/>
      <c r="T213" s="257"/>
      <c r="U213" s="257"/>
      <c r="V213" s="257"/>
      <c r="W213" s="257"/>
      <c r="X213" s="257"/>
      <c r="Y213" s="257"/>
      <c r="Z213" s="257"/>
    </row>
    <row r="214">
      <c r="A214" s="246"/>
      <c r="B214" s="246" t="s">
        <v>703</v>
      </c>
      <c r="C214" s="247" t="s">
        <v>770</v>
      </c>
      <c r="D214" s="247" t="s">
        <v>26</v>
      </c>
      <c r="E214" s="259" t="s">
        <v>771</v>
      </c>
      <c r="F214" s="123">
        <f t="shared" si="1"/>
        <v>1</v>
      </c>
      <c r="G214" s="121" t="s">
        <v>7448</v>
      </c>
      <c r="H214" s="12" t="s">
        <v>773</v>
      </c>
      <c r="I214" s="192" t="str">
        <f>IFERROR(__xludf.DUMMYFUNCTION("regexreplace(lower(C214), ""_"", """")"),"pretemperaturemaxdate")</f>
        <v>pretemperaturemaxdate</v>
      </c>
      <c r="J214" s="192" t="b">
        <f t="shared" si="18"/>
        <v>0</v>
      </c>
      <c r="K214" s="192" t="str">
        <f>IFERROR(__xludf.DUMMYFUNCTION("regexreplace(G214, ""_"", """")"),"beforebaselinetemperaturemaxdate")</f>
        <v>beforebaselinetemperaturemaxdate</v>
      </c>
      <c r="L2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""$1$2"")"),"pre__temperature_max_date")</f>
        <v>pre__temperature_max_date</v>
      </c>
      <c r="M214" s="257"/>
      <c r="N214" s="267" t="s">
        <v>7416</v>
      </c>
      <c r="O214" s="257"/>
      <c r="P214" s="260"/>
      <c r="Q214" s="255" t="s">
        <v>774</v>
      </c>
      <c r="R214" s="258"/>
      <c r="S214" s="258"/>
      <c r="T214" s="257"/>
      <c r="U214" s="257"/>
      <c r="V214" s="257"/>
      <c r="W214" s="257"/>
      <c r="X214" s="257"/>
      <c r="Y214" s="257"/>
      <c r="Z214" s="257"/>
    </row>
    <row r="215">
      <c r="A215" s="246"/>
      <c r="B215" s="246" t="s">
        <v>703</v>
      </c>
      <c r="C215" s="247" t="s">
        <v>775</v>
      </c>
      <c r="D215" s="247" t="s">
        <v>145</v>
      </c>
      <c r="E215" s="259" t="s">
        <v>776</v>
      </c>
      <c r="F215" s="123">
        <f t="shared" si="1"/>
        <v>1</v>
      </c>
      <c r="G215" s="121" t="s">
        <v>7449</v>
      </c>
      <c r="H215" s="12" t="s">
        <v>773</v>
      </c>
      <c r="I215" s="192" t="str">
        <f>IFERROR(__xludf.DUMMYFUNCTION("regexreplace(lower(C215), ""_"", """")"),"pretemperaturemaxtime")</f>
        <v>pretemperaturemaxtime</v>
      </c>
      <c r="J215" s="192" t="b">
        <f t="shared" si="18"/>
        <v>0</v>
      </c>
      <c r="K215" s="192" t="str">
        <f>IFERROR(__xludf.DUMMYFUNCTION("regexreplace(G215, ""_"", """")"),"beforebaselinetemperaturemaxtime")</f>
        <v>beforebaselinetemperaturemaxtime</v>
      </c>
      <c r="L2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""$1$2"")"),"pre__temperature_max_time")</f>
        <v>pre__temperature_max_time</v>
      </c>
      <c r="M215" s="257"/>
      <c r="N215" s="255"/>
      <c r="O215" s="257"/>
      <c r="P215" s="260"/>
      <c r="Q215" s="255" t="s">
        <v>778</v>
      </c>
      <c r="R215" s="258"/>
      <c r="S215" s="258"/>
      <c r="T215" s="257"/>
      <c r="U215" s="257"/>
      <c r="V215" s="257"/>
      <c r="W215" s="257"/>
      <c r="X215" s="257"/>
      <c r="Y215" s="257"/>
      <c r="Z215" s="257"/>
    </row>
    <row r="216">
      <c r="A216" s="246"/>
      <c r="B216" s="246" t="s">
        <v>703</v>
      </c>
      <c r="C216" s="247" t="s">
        <v>779</v>
      </c>
      <c r="D216" s="247" t="s">
        <v>483</v>
      </c>
      <c r="E216" s="255" t="s">
        <v>780</v>
      </c>
      <c r="F216" s="123">
        <f t="shared" si="1"/>
        <v>1</v>
      </c>
      <c r="G216" s="121" t="s">
        <v>7450</v>
      </c>
      <c r="H216" s="12" t="s">
        <v>773</v>
      </c>
      <c r="I216" s="192" t="str">
        <f>IFERROR(__xludf.DUMMYFUNCTION("regexreplace(lower(C216), ""_"", """")"),"preskintemperaturemaxc")</f>
        <v>preskintemperaturemaxc</v>
      </c>
      <c r="J216" s="192" t="b">
        <f t="shared" si="18"/>
        <v>0</v>
      </c>
      <c r="K216" s="192" t="str">
        <f>IFERROR(__xludf.DUMMYFUNCTION("regexreplace(G216, ""_"", """")"),"beforebaselineskintemperaturemax")</f>
        <v>beforebaselineskintemperaturemax</v>
      </c>
      <c r="L2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""$1$2"")"),"pre__skin_temperature_max__c")</f>
        <v>pre__skin_temperature_max__c</v>
      </c>
      <c r="M216" s="257"/>
      <c r="N216" s="255" t="s">
        <v>7444</v>
      </c>
      <c r="O216" s="257"/>
      <c r="P216" s="260"/>
      <c r="Q216" s="255" t="s">
        <v>782</v>
      </c>
      <c r="R216" s="258"/>
      <c r="S216" s="258"/>
      <c r="T216" s="257"/>
      <c r="U216" s="257"/>
      <c r="V216" s="257"/>
      <c r="W216" s="257"/>
      <c r="X216" s="257"/>
      <c r="Y216" s="257"/>
      <c r="Z216" s="257"/>
    </row>
    <row r="217">
      <c r="A217" s="246"/>
      <c r="B217" s="246" t="s">
        <v>703</v>
      </c>
      <c r="C217" s="247" t="s">
        <v>783</v>
      </c>
      <c r="D217" s="247" t="s">
        <v>483</v>
      </c>
      <c r="E217" s="255" t="s">
        <v>784</v>
      </c>
      <c r="F217" s="123">
        <f t="shared" si="1"/>
        <v>1</v>
      </c>
      <c r="G217" s="121" t="s">
        <v>7451</v>
      </c>
      <c r="H217" s="12" t="s">
        <v>773</v>
      </c>
      <c r="I217" s="192" t="str">
        <f>IFERROR(__xludf.DUMMYFUNCTION("regexreplace(lower(C217), ""_"", """")"),"preaxillarytemperaturemaxc")</f>
        <v>preaxillarytemperaturemaxc</v>
      </c>
      <c r="J217" s="192" t="b">
        <f t="shared" si="18"/>
        <v>0</v>
      </c>
      <c r="K217" s="192" t="str">
        <f>IFERROR(__xludf.DUMMYFUNCTION("regexreplace(G217, ""_"", """")"),"beforebaselineaxillarytemperaturemax")</f>
        <v>beforebaselineaxillarytemperaturemax</v>
      </c>
      <c r="L2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""$1$2"")"),"pre__axillary_temperature_max__c")</f>
        <v>pre__axillary_temperature_max__c</v>
      </c>
      <c r="M217" s="257"/>
      <c r="N217" s="255" t="s">
        <v>7444</v>
      </c>
      <c r="O217" s="257"/>
      <c r="P217" s="260"/>
      <c r="Q217" s="255" t="s">
        <v>786</v>
      </c>
      <c r="R217" s="258"/>
      <c r="S217" s="258"/>
      <c r="T217" s="257"/>
      <c r="U217" s="257"/>
      <c r="V217" s="257"/>
      <c r="W217" s="257"/>
      <c r="X217" s="257"/>
      <c r="Y217" s="257"/>
      <c r="Z217" s="257"/>
    </row>
    <row r="218">
      <c r="A218" s="246"/>
      <c r="B218" s="246" t="s">
        <v>703</v>
      </c>
      <c r="C218" s="247" t="s">
        <v>787</v>
      </c>
      <c r="D218" s="247" t="s">
        <v>483</v>
      </c>
      <c r="E218" s="255" t="s">
        <v>788</v>
      </c>
      <c r="F218" s="123">
        <f t="shared" si="1"/>
        <v>1</v>
      </c>
      <c r="G218" s="121" t="s">
        <v>7452</v>
      </c>
      <c r="H218" s="12" t="s">
        <v>773</v>
      </c>
      <c r="I218" s="192" t="str">
        <f>IFERROR(__xludf.DUMMYFUNCTION("regexreplace(lower(C218), ""_"", """")"),"preesophagealtemperaturemaxc")</f>
        <v>preesophagealtemperaturemaxc</v>
      </c>
      <c r="J218" s="192" t="b">
        <f t="shared" si="18"/>
        <v>0</v>
      </c>
      <c r="K218" s="192" t="str">
        <f>IFERROR(__xludf.DUMMYFUNCTION("regexreplace(G218, ""_"", """")"),"beforebaselineesophagealtemperaturemax")</f>
        <v>beforebaselineesophagealtemperaturemax</v>
      </c>
      <c r="L2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""$1$2"")"),"pre__esophageal_temperature_max__c")</f>
        <v>pre__esophageal_temperature_max__c</v>
      </c>
      <c r="M218" s="257"/>
      <c r="N218" s="255" t="s">
        <v>7444</v>
      </c>
      <c r="O218" s="257"/>
      <c r="P218" s="260"/>
      <c r="Q218" s="255" t="s">
        <v>790</v>
      </c>
      <c r="R218" s="258"/>
      <c r="S218" s="258"/>
      <c r="T218" s="257"/>
      <c r="U218" s="257"/>
      <c r="V218" s="257"/>
      <c r="W218" s="257"/>
      <c r="X218" s="257"/>
      <c r="Y218" s="257"/>
      <c r="Z218" s="257"/>
    </row>
    <row r="219">
      <c r="A219" s="246"/>
      <c r="B219" s="246" t="s">
        <v>703</v>
      </c>
      <c r="C219" s="247" t="s">
        <v>791</v>
      </c>
      <c r="D219" s="247" t="s">
        <v>483</v>
      </c>
      <c r="E219" s="255" t="s">
        <v>792</v>
      </c>
      <c r="F219" s="123">
        <f t="shared" si="1"/>
        <v>1</v>
      </c>
      <c r="G219" s="121" t="s">
        <v>7453</v>
      </c>
      <c r="H219" s="12" t="s">
        <v>773</v>
      </c>
      <c r="I219" s="192" t="str">
        <f>IFERROR(__xludf.DUMMYFUNCTION("regexreplace(lower(C219), ""_"", """")"),"preservosetmaxc")</f>
        <v>preservosetmaxc</v>
      </c>
      <c r="J219" s="192" t="b">
        <f t="shared" si="18"/>
        <v>0</v>
      </c>
      <c r="K219" s="192" t="str">
        <f>IFERROR(__xludf.DUMMYFUNCTION("regexreplace(G219, ""_"", """")"),"beforebaselineservosetmax")</f>
        <v>beforebaselineservosetmax</v>
      </c>
      <c r="L2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""$1$2"")"),"pre__servo_set_max__c")</f>
        <v>pre__servo_set_max__c</v>
      </c>
      <c r="M219" s="257"/>
      <c r="N219" s="255"/>
      <c r="O219" s="257"/>
      <c r="P219" s="260"/>
      <c r="Q219" s="255" t="s">
        <v>794</v>
      </c>
      <c r="R219" s="258"/>
      <c r="S219" s="258"/>
      <c r="T219" s="257"/>
      <c r="U219" s="257"/>
      <c r="V219" s="257"/>
      <c r="W219" s="257"/>
      <c r="X219" s="257"/>
      <c r="Y219" s="257"/>
      <c r="Z219" s="257"/>
    </row>
    <row r="220">
      <c r="A220" s="33"/>
      <c r="B220" s="33"/>
      <c r="C220" s="12"/>
      <c r="D220" s="12"/>
      <c r="E220" s="15"/>
      <c r="F220" s="123">
        <f t="shared" si="1"/>
        <v>0</v>
      </c>
      <c r="G220" s="12"/>
      <c r="H220" s="12"/>
      <c r="I220" s="12"/>
      <c r="J220" s="12"/>
      <c r="K220" s="12"/>
      <c r="L220" s="12"/>
      <c r="N220" s="15"/>
      <c r="P220" s="15"/>
      <c r="Q220" s="15"/>
      <c r="R220" s="88"/>
      <c r="S220" s="88"/>
    </row>
    <row r="221">
      <c r="A221" s="189" t="s">
        <v>10</v>
      </c>
      <c r="B221" s="268" t="s">
        <v>795</v>
      </c>
      <c r="C221" s="269" t="s">
        <v>796</v>
      </c>
      <c r="D221" s="268" t="s">
        <v>26</v>
      </c>
      <c r="E221" s="270" t="s">
        <v>797</v>
      </c>
      <c r="F221" s="123">
        <f t="shared" si="1"/>
        <v>0</v>
      </c>
      <c r="G221" s="269" t="s">
        <v>7454</v>
      </c>
      <c r="H221" s="12" t="s">
        <v>799</v>
      </c>
      <c r="I221" s="268" t="str">
        <f>IFERROR(__xludf.DUMMYFUNCTION("regexreplace(lower(C221), ""_"", """")"),"precardiodate")</f>
        <v>precardiodate</v>
      </c>
      <c r="J221" s="271" t="b">
        <f t="shared" ref="J221:J229" si="19">exact(I221, K221)</f>
        <v>0</v>
      </c>
      <c r="K221" s="268" t="str">
        <f>IFERROR(__xludf.DUMMYFUNCTION("regexreplace(G221, ""_"", """")"),"beforebaselinecardiodate")</f>
        <v>beforebaselinecardiodate</v>
      </c>
      <c r="L22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""$1$2"")"),"pre__cardio_date")</f>
        <v>pre__cardio_date</v>
      </c>
      <c r="M221" s="272"/>
      <c r="N221" s="248" t="s">
        <v>7416</v>
      </c>
      <c r="O221" s="272"/>
      <c r="P221" s="270"/>
      <c r="Q221" s="270"/>
      <c r="R221" s="272"/>
      <c r="S221" s="272"/>
      <c r="T221" s="272"/>
      <c r="U221" s="272"/>
      <c r="V221" s="272"/>
      <c r="W221" s="272"/>
      <c r="X221" s="272"/>
      <c r="Y221" s="272"/>
      <c r="Z221" s="272"/>
    </row>
    <row r="222">
      <c r="A222" s="270"/>
      <c r="B222" s="268" t="s">
        <v>795</v>
      </c>
      <c r="C222" s="269" t="s">
        <v>800</v>
      </c>
      <c r="D222" s="268" t="s">
        <v>145</v>
      </c>
      <c r="E222" s="270" t="s">
        <v>801</v>
      </c>
      <c r="F222" s="123">
        <f t="shared" si="1"/>
        <v>0</v>
      </c>
      <c r="G222" s="269" t="s">
        <v>7455</v>
      </c>
      <c r="H222" s="45"/>
      <c r="I222" s="268" t="str">
        <f>IFERROR(__xludf.DUMMYFUNCTION("regexreplace(lower(C222), ""_"", """")"),"precardiotime")</f>
        <v>precardiotime</v>
      </c>
      <c r="J222" s="271" t="b">
        <f t="shared" si="19"/>
        <v>0</v>
      </c>
      <c r="K222" s="268" t="str">
        <f>IFERROR(__xludf.DUMMYFUNCTION("regexreplace(G222, ""_"", """")"),"beforebaselinecardiotime")</f>
        <v>beforebaselinecardiotime</v>
      </c>
      <c r="L22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""$1$2"")"),"pre__cardio_time")</f>
        <v>pre__cardio_time</v>
      </c>
      <c r="M222" s="272"/>
      <c r="N222" s="270"/>
      <c r="O222" s="272"/>
      <c r="P222" s="270"/>
      <c r="Q222" s="270"/>
      <c r="R222" s="272"/>
      <c r="S222" s="272"/>
      <c r="T222" s="272"/>
      <c r="U222" s="272"/>
      <c r="V222" s="272"/>
      <c r="W222" s="272"/>
      <c r="X222" s="272"/>
      <c r="Y222" s="272"/>
      <c r="Z222" s="272"/>
    </row>
    <row r="223">
      <c r="B223" s="268" t="s">
        <v>795</v>
      </c>
      <c r="C223" s="269" t="s">
        <v>803</v>
      </c>
      <c r="D223" s="268" t="s">
        <v>483</v>
      </c>
      <c r="E223" s="270" t="s">
        <v>804</v>
      </c>
      <c r="F223" s="123">
        <f t="shared" si="1"/>
        <v>0</v>
      </c>
      <c r="G223" s="269" t="s">
        <v>7456</v>
      </c>
      <c r="H223" s="45"/>
      <c r="I223" s="268" t="str">
        <f>IFERROR(__xludf.DUMMYFUNCTION("regexreplace(lower(C223), ""_"", """")"),"precardiosystolicbloodpressuremmhg")</f>
        <v>precardiosystolicbloodpressuremmhg</v>
      </c>
      <c r="J223" s="271" t="b">
        <f t="shared" si="19"/>
        <v>0</v>
      </c>
      <c r="K223" s="268" t="str">
        <f>IFERROR(__xludf.DUMMYFUNCTION("regexreplace(G223, ""_"", """")"),"beforebaselinecardiosystolicbloodpressure")</f>
        <v>beforebaselinecardiosystolicbloodpressure</v>
      </c>
      <c r="L22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""$1$2"")"),"pre__cardio_systolic_blood_pressure__mmhg")</f>
        <v>pre__cardio_systolic_blood_pressure__mmhg</v>
      </c>
      <c r="M223" s="272"/>
      <c r="N223" s="248" t="s">
        <v>7457</v>
      </c>
      <c r="O223" s="272"/>
      <c r="P223" s="270"/>
      <c r="Q223" s="270"/>
      <c r="R223" s="272"/>
      <c r="S223" s="272"/>
      <c r="T223" s="272"/>
      <c r="U223" s="272"/>
      <c r="V223" s="272"/>
      <c r="W223" s="272"/>
      <c r="X223" s="272"/>
      <c r="Y223" s="272"/>
      <c r="Z223" s="272"/>
    </row>
    <row r="224">
      <c r="A224" s="270"/>
      <c r="B224" s="268" t="s">
        <v>795</v>
      </c>
      <c r="C224" s="269" t="s">
        <v>806</v>
      </c>
      <c r="D224" s="268" t="s">
        <v>483</v>
      </c>
      <c r="E224" s="270" t="s">
        <v>807</v>
      </c>
      <c r="F224" s="123">
        <f t="shared" si="1"/>
        <v>0</v>
      </c>
      <c r="G224" s="269" t="s">
        <v>7458</v>
      </c>
      <c r="H224" s="45"/>
      <c r="I224" s="268" t="str">
        <f>IFERROR(__xludf.DUMMYFUNCTION("regexreplace(lower(C224), ""_"", """")"),"precardiodiastolicbloodpressuremmhg")</f>
        <v>precardiodiastolicbloodpressuremmhg</v>
      </c>
      <c r="J224" s="271" t="b">
        <f t="shared" si="19"/>
        <v>0</v>
      </c>
      <c r="K224" s="268" t="str">
        <f>IFERROR(__xludf.DUMMYFUNCTION("regexreplace(G224, ""_"", """")"),"beforebaselinecardiodiastolicbloodpressure")</f>
        <v>beforebaselinecardiodiastolicbloodpressure</v>
      </c>
      <c r="L22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""$1$2"")"),"pre__cardio_diastolic_blood_pressure__mmhg")</f>
        <v>pre__cardio_diastolic_blood_pressure__mmhg</v>
      </c>
      <c r="M224" s="272"/>
      <c r="N224" s="248" t="s">
        <v>7459</v>
      </c>
      <c r="O224" s="272"/>
      <c r="P224" s="270"/>
      <c r="Q224" s="270"/>
      <c r="R224" s="272"/>
      <c r="S224" s="272"/>
      <c r="T224" s="272"/>
      <c r="U224" s="272"/>
      <c r="V224" s="272"/>
      <c r="W224" s="272"/>
      <c r="X224" s="272"/>
      <c r="Y224" s="272"/>
      <c r="Z224" s="272"/>
    </row>
    <row r="225">
      <c r="A225" s="270"/>
      <c r="B225" s="268" t="s">
        <v>795</v>
      </c>
      <c r="C225" s="269" t="s">
        <v>809</v>
      </c>
      <c r="D225" s="268" t="s">
        <v>483</v>
      </c>
      <c r="E225" s="270" t="s">
        <v>810</v>
      </c>
      <c r="F225" s="123">
        <f t="shared" si="1"/>
        <v>0</v>
      </c>
      <c r="G225" s="269" t="s">
        <v>7460</v>
      </c>
      <c r="H225" s="45"/>
      <c r="I225" s="268" t="str">
        <f>IFERROR(__xludf.DUMMYFUNCTION("regexreplace(lower(C225), ""_"", """")"),"precardioheartratebpm")</f>
        <v>precardioheartratebpm</v>
      </c>
      <c r="J225" s="271" t="b">
        <f t="shared" si="19"/>
        <v>0</v>
      </c>
      <c r="K225" s="268" t="str">
        <f>IFERROR(__xludf.DUMMYFUNCTION("regexreplace(G225, ""_"", """")"),"beforebaselinecardioheartrate")</f>
        <v>beforebaselinecardioheartrate</v>
      </c>
      <c r="L22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""$1$2"")"),"pre__cardio_heart_rate__b_p_m")</f>
        <v>pre__cardio_heart_rate__b_p_m</v>
      </c>
      <c r="M225" s="272"/>
      <c r="N225" s="248" t="s">
        <v>7461</v>
      </c>
      <c r="O225" s="272"/>
      <c r="P225" s="270"/>
      <c r="Q225" s="270"/>
      <c r="R225" s="272"/>
      <c r="S225" s="272"/>
      <c r="T225" s="272"/>
      <c r="U225" s="272"/>
      <c r="V225" s="272"/>
      <c r="W225" s="272"/>
      <c r="X225" s="272"/>
      <c r="Y225" s="272"/>
      <c r="Z225" s="272"/>
    </row>
    <row r="226">
      <c r="A226" s="270"/>
      <c r="B226" s="268" t="s">
        <v>795</v>
      </c>
      <c r="C226" s="269" t="s">
        <v>812</v>
      </c>
      <c r="D226" s="268" t="s">
        <v>40</v>
      </c>
      <c r="E226" s="270" t="s">
        <v>813</v>
      </c>
      <c r="F226" s="123">
        <f t="shared" si="1"/>
        <v>0</v>
      </c>
      <c r="G226" s="269" t="s">
        <v>7462</v>
      </c>
      <c r="H226" s="45"/>
      <c r="I226" s="268" t="str">
        <f>IFERROR(__xludf.DUMMYFUNCTION("regexreplace(lower(C226), ""_"", """")"),"precardiovolumeexpand")</f>
        <v>precardiovolumeexpand</v>
      </c>
      <c r="J226" s="271" t="b">
        <f t="shared" si="19"/>
        <v>0</v>
      </c>
      <c r="K226" s="268" t="str">
        <f>IFERROR(__xludf.DUMMYFUNCTION("regexreplace(G226, ""_"", """")"),"beforebaselinecardiovolumeexpand")</f>
        <v>beforebaselinecardiovolumeexpand</v>
      </c>
      <c r="L22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""$1$2"")"),"pre__cardio_volume_expand")</f>
        <v>pre__cardio_volume_expand</v>
      </c>
      <c r="M226" s="272"/>
      <c r="N226" s="270"/>
      <c r="O226" s="272"/>
      <c r="P226" s="270"/>
      <c r="Q226" s="270"/>
      <c r="R226" s="272"/>
      <c r="S226" s="272"/>
      <c r="T226" s="272"/>
      <c r="U226" s="272"/>
      <c r="V226" s="272"/>
      <c r="W226" s="272"/>
      <c r="X226" s="272"/>
      <c r="Y226" s="272"/>
      <c r="Z226" s="272"/>
    </row>
    <row r="227">
      <c r="A227" s="270"/>
      <c r="B227" s="268" t="s">
        <v>795</v>
      </c>
      <c r="C227" s="269" t="s">
        <v>815</v>
      </c>
      <c r="D227" s="268" t="s">
        <v>40</v>
      </c>
      <c r="E227" s="270" t="s">
        <v>816</v>
      </c>
      <c r="F227" s="123">
        <f t="shared" si="1"/>
        <v>0</v>
      </c>
      <c r="G227" s="269" t="s">
        <v>7463</v>
      </c>
      <c r="H227" s="45"/>
      <c r="I227" s="268" t="str">
        <f>IFERROR(__xludf.DUMMYFUNCTION("regexreplace(lower(C227), ""_"", """")"),"precardioinotropicagent")</f>
        <v>precardioinotropicagent</v>
      </c>
      <c r="J227" s="271" t="b">
        <f t="shared" si="19"/>
        <v>0</v>
      </c>
      <c r="K227" s="268" t="str">
        <f>IFERROR(__xludf.DUMMYFUNCTION("regexreplace(G227, ""_"", """")"),"beforebaselinecardioinotropicagent")</f>
        <v>beforebaselinecardioinotropicagent</v>
      </c>
      <c r="L22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""$1$2"")"),"pre__cardio_inotropic_agent")</f>
        <v>pre__cardio_inotropic_agent</v>
      </c>
      <c r="M227" s="272"/>
      <c r="N227" s="270"/>
      <c r="O227" s="272"/>
      <c r="P227" s="270"/>
      <c r="Q227" s="270"/>
      <c r="R227" s="272"/>
      <c r="S227" s="272"/>
      <c r="T227" s="272"/>
      <c r="U227" s="272"/>
      <c r="V227" s="272"/>
      <c r="W227" s="272"/>
      <c r="X227" s="272"/>
      <c r="Y227" s="272"/>
      <c r="Z227" s="272"/>
    </row>
    <row r="228">
      <c r="A228" s="270"/>
      <c r="B228" s="268" t="s">
        <v>795</v>
      </c>
      <c r="C228" s="269" t="s">
        <v>818</v>
      </c>
      <c r="D228" s="268" t="s">
        <v>40</v>
      </c>
      <c r="E228" s="270" t="s">
        <v>819</v>
      </c>
      <c r="F228" s="123">
        <f t="shared" si="1"/>
        <v>0</v>
      </c>
      <c r="G228" s="269" t="s">
        <v>7464</v>
      </c>
      <c r="H228" s="45"/>
      <c r="I228" s="268" t="str">
        <f>IFERROR(__xludf.DUMMYFUNCTION("regexreplace(lower(C228), ""_"", """")"),"precardiobloodtransfusion")</f>
        <v>precardiobloodtransfusion</v>
      </c>
      <c r="J228" s="271" t="b">
        <f t="shared" si="19"/>
        <v>0</v>
      </c>
      <c r="K228" s="268" t="str">
        <f>IFERROR(__xludf.DUMMYFUNCTION("regexreplace(G228, ""_"", """")"),"beforebaselinecardiobloodtransfusion")</f>
        <v>beforebaselinecardiobloodtransfusion</v>
      </c>
      <c r="L22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""$1$2"")"),"pre__cardio_blood_transfusion")</f>
        <v>pre__cardio_blood_transfusion</v>
      </c>
      <c r="M228" s="272"/>
      <c r="N228" s="270"/>
      <c r="O228" s="272"/>
      <c r="P228" s="270"/>
      <c r="Q228" s="270"/>
      <c r="R228" s="272"/>
      <c r="S228" s="272"/>
      <c r="T228" s="272"/>
      <c r="U228" s="272"/>
      <c r="V228" s="272"/>
      <c r="W228" s="272"/>
      <c r="X228" s="272"/>
      <c r="Y228" s="272"/>
      <c r="Z228" s="272"/>
    </row>
    <row r="229">
      <c r="A229" s="270"/>
      <c r="B229" s="268" t="s">
        <v>795</v>
      </c>
      <c r="C229" s="269" t="s">
        <v>821</v>
      </c>
      <c r="D229" s="268" t="s">
        <v>40</v>
      </c>
      <c r="E229" s="270" t="s">
        <v>822</v>
      </c>
      <c r="F229" s="123">
        <f t="shared" si="1"/>
        <v>0</v>
      </c>
      <c r="G229" s="269" t="s">
        <v>7465</v>
      </c>
      <c r="H229" s="45"/>
      <c r="I229" s="268" t="str">
        <f>IFERROR(__xludf.DUMMYFUNCTION("regexreplace(lower(C229), ""_"", """")"),"precardioplatelets")</f>
        <v>precardioplatelets</v>
      </c>
      <c r="J229" s="271" t="b">
        <f t="shared" si="19"/>
        <v>0</v>
      </c>
      <c r="K229" s="268" t="str">
        <f>IFERROR(__xludf.DUMMYFUNCTION("regexreplace(G229, ""_"", """")"),"beforebaselinecardioplatelets")</f>
        <v>beforebaselinecardioplatelets</v>
      </c>
      <c r="L22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""$1$2"")"),"pre__cardio_platelets")</f>
        <v>pre__cardio_platelets</v>
      </c>
      <c r="M229" s="272"/>
      <c r="N229" s="270"/>
      <c r="O229" s="272"/>
      <c r="P229" s="270"/>
      <c r="Q229" s="270"/>
      <c r="R229" s="272"/>
      <c r="S229" s="272"/>
      <c r="T229" s="272"/>
      <c r="U229" s="272"/>
      <c r="V229" s="272"/>
      <c r="W229" s="272"/>
      <c r="X229" s="272"/>
      <c r="Y229" s="272"/>
      <c r="Z229" s="272"/>
    </row>
    <row r="230">
      <c r="A230" s="33"/>
      <c r="B230" s="33"/>
      <c r="C230" s="12"/>
      <c r="D230" s="12"/>
      <c r="E230" s="15"/>
      <c r="F230" s="123">
        <f t="shared" si="1"/>
        <v>0</v>
      </c>
      <c r="G230" s="12"/>
      <c r="H230" s="12"/>
      <c r="I230" s="12"/>
      <c r="J230" s="12"/>
      <c r="K230" s="12"/>
      <c r="L230" s="12"/>
      <c r="N230" s="15"/>
      <c r="P230" s="15"/>
      <c r="Q230" s="15"/>
      <c r="R230" s="88"/>
      <c r="S230" s="88"/>
    </row>
    <row r="231">
      <c r="A231" s="189" t="s">
        <v>10</v>
      </c>
      <c r="B231" s="268" t="s">
        <v>824</v>
      </c>
      <c r="C231" s="269" t="s">
        <v>825</v>
      </c>
      <c r="D231" s="268" t="s">
        <v>26</v>
      </c>
      <c r="E231" s="273" t="s">
        <v>826</v>
      </c>
      <c r="F231" s="123">
        <f t="shared" si="1"/>
        <v>0</v>
      </c>
      <c r="G231" s="269" t="s">
        <v>7466</v>
      </c>
      <c r="H231" s="12" t="s">
        <v>828</v>
      </c>
      <c r="I231" s="268" t="str">
        <f>IFERROR(__xludf.DUMMYFUNCTION("regexreplace(lower(C231), ""_"", """")"),"prerespiratorydate")</f>
        <v>prerespiratorydate</v>
      </c>
      <c r="J231" s="271" t="b">
        <f t="shared" ref="J231:J252" si="20">exact(I231, K231)</f>
        <v>0</v>
      </c>
      <c r="K231" s="268" t="str">
        <f>IFERROR(__xludf.DUMMYFUNCTION("regexreplace(G231, ""_"", """")"),"beforebaselinerespiratorydate")</f>
        <v>beforebaselinerespiratorydate</v>
      </c>
      <c r="L23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""$1$2"")"),"pre__respiratory_date")</f>
        <v>pre__respiratory_date</v>
      </c>
      <c r="M231" s="272"/>
      <c r="N231" s="248" t="s">
        <v>7416</v>
      </c>
      <c r="O231" s="272"/>
      <c r="P231" s="270"/>
      <c r="Q231" s="270"/>
      <c r="R231" s="272"/>
      <c r="S231" s="272"/>
      <c r="T231" s="272"/>
      <c r="U231" s="272"/>
      <c r="V231" s="272"/>
      <c r="W231" s="272"/>
      <c r="X231" s="272"/>
      <c r="Y231" s="272"/>
      <c r="Z231" s="272"/>
    </row>
    <row r="232">
      <c r="A232" s="270"/>
      <c r="B232" s="268" t="s">
        <v>824</v>
      </c>
      <c r="C232" s="269" t="s">
        <v>829</v>
      </c>
      <c r="D232" s="268" t="s">
        <v>145</v>
      </c>
      <c r="E232" s="273" t="s">
        <v>830</v>
      </c>
      <c r="F232" s="123">
        <f t="shared" si="1"/>
        <v>0</v>
      </c>
      <c r="G232" s="269" t="s">
        <v>7467</v>
      </c>
      <c r="H232" s="45"/>
      <c r="I232" s="268" t="str">
        <f>IFERROR(__xludf.DUMMYFUNCTION("regexreplace(lower(C232), ""_"", """")"),"prerespiratorytime")</f>
        <v>prerespiratorytime</v>
      </c>
      <c r="J232" s="271" t="b">
        <f t="shared" si="20"/>
        <v>0</v>
      </c>
      <c r="K232" s="268" t="str">
        <f>IFERROR(__xludf.DUMMYFUNCTION("regexreplace(G232, ""_"", """")"),"beforebaselinerespiratorytime")</f>
        <v>beforebaselinerespiratorytime</v>
      </c>
      <c r="L23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""$1$2"")"),"pre__respiratory_time")</f>
        <v>pre__respiratory_time</v>
      </c>
      <c r="M232" s="272"/>
      <c r="N232" s="270"/>
      <c r="O232" s="272"/>
      <c r="P232" s="270"/>
      <c r="Q232" s="270"/>
      <c r="R232" s="272"/>
      <c r="S232" s="272"/>
      <c r="T232" s="272"/>
      <c r="U232" s="272"/>
      <c r="V232" s="272"/>
      <c r="W232" s="272"/>
      <c r="X232" s="272"/>
      <c r="Y232" s="272"/>
      <c r="Z232" s="272"/>
    </row>
    <row r="233">
      <c r="A233" s="270"/>
      <c r="B233" s="268" t="s">
        <v>824</v>
      </c>
      <c r="C233" s="269" t="s">
        <v>832</v>
      </c>
      <c r="D233" s="268" t="s">
        <v>833</v>
      </c>
      <c r="E233" s="270" t="s">
        <v>834</v>
      </c>
      <c r="F233" s="123">
        <f t="shared" si="1"/>
        <v>0</v>
      </c>
      <c r="G233" s="269" t="s">
        <v>7468</v>
      </c>
      <c r="H233" s="45"/>
      <c r="I233" s="268" t="str">
        <f>IFERROR(__xludf.DUMMYFUNCTION("regexreplace(lower(C233), ""_"", """")"),"prerespiratorysupporttype")</f>
        <v>prerespiratorysupporttype</v>
      </c>
      <c r="J233" s="271" t="b">
        <f t="shared" si="20"/>
        <v>0</v>
      </c>
      <c r="K233" s="268" t="str">
        <f>IFERROR(__xludf.DUMMYFUNCTION("regexreplace(G233, ""_"", """")"),"beforebaselinerespiratorysupporttype")</f>
        <v>beforebaselinerespiratorysupporttype</v>
      </c>
      <c r="L23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""$1$2"")"),"pre__respiratory_support_type")</f>
        <v>pre__respiratory_support_type</v>
      </c>
      <c r="M233" s="272"/>
      <c r="N233" s="248" t="s">
        <v>7469</v>
      </c>
      <c r="O233" s="272"/>
      <c r="P233" s="270"/>
      <c r="Q233" s="270"/>
      <c r="R233" s="272"/>
      <c r="S233" s="272"/>
      <c r="T233" s="272"/>
      <c r="U233" s="272"/>
      <c r="V233" s="272"/>
      <c r="W233" s="272"/>
      <c r="X233" s="272"/>
      <c r="Y233" s="272"/>
      <c r="Z233" s="272"/>
    </row>
    <row r="234">
      <c r="A234" s="270"/>
      <c r="B234" s="268" t="s">
        <v>824</v>
      </c>
      <c r="C234" s="269" t="s">
        <v>836</v>
      </c>
      <c r="D234" s="268" t="s">
        <v>483</v>
      </c>
      <c r="E234" s="270" t="s">
        <v>837</v>
      </c>
      <c r="F234" s="123">
        <f t="shared" si="1"/>
        <v>0</v>
      </c>
      <c r="G234" s="269" t="s">
        <v>7470</v>
      </c>
      <c r="H234" s="45"/>
      <c r="I234" s="268" t="str">
        <f>IFERROR(__xludf.DUMMYFUNCTION("regexreplace(lower(C234), ""_"", """")"),"prerespiratoryfio2")</f>
        <v>prerespiratoryfio2</v>
      </c>
      <c r="J234" s="271" t="b">
        <f t="shared" si="20"/>
        <v>0</v>
      </c>
      <c r="K234" s="268" t="str">
        <f>IFERROR(__xludf.DUMMYFUNCTION("regexreplace(G234, ""_"", """")"),"beforebaselinerespiratoryfio2")</f>
        <v>beforebaselinerespiratoryfio2</v>
      </c>
      <c r="L23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""$1$2"")"),"pre__respiratory_fio2")</f>
        <v>pre__respiratory_fio2</v>
      </c>
      <c r="M234" s="272"/>
      <c r="N234" s="248" t="s">
        <v>7471</v>
      </c>
      <c r="O234" s="272"/>
      <c r="P234" s="270"/>
      <c r="Q234" s="270"/>
      <c r="R234" s="272"/>
      <c r="S234" s="272"/>
      <c r="T234" s="272"/>
      <c r="U234" s="272"/>
      <c r="V234" s="272"/>
      <c r="W234" s="272"/>
      <c r="X234" s="272"/>
      <c r="Y234" s="272"/>
      <c r="Z234" s="272"/>
    </row>
    <row r="235">
      <c r="A235" s="270"/>
      <c r="B235" s="268" t="s">
        <v>824</v>
      </c>
      <c r="C235" s="269" t="s">
        <v>839</v>
      </c>
      <c r="D235" s="268" t="s">
        <v>483</v>
      </c>
      <c r="E235" s="270" t="s">
        <v>840</v>
      </c>
      <c r="F235" s="123">
        <f t="shared" si="1"/>
        <v>0</v>
      </c>
      <c r="G235" s="269" t="s">
        <v>7472</v>
      </c>
      <c r="H235" s="45"/>
      <c r="I235" s="268" t="str">
        <f>IFERROR(__xludf.DUMMYFUNCTION("regexreplace(lower(C235), ""_"", """")"),"prerespiratoryratehz")</f>
        <v>prerespiratoryratehz</v>
      </c>
      <c r="J235" s="271" t="b">
        <f t="shared" si="20"/>
        <v>0</v>
      </c>
      <c r="K235" s="268" t="str">
        <f>IFERROR(__xludf.DUMMYFUNCTION("regexreplace(G235, ""_"", """")"),"beforebaselinerespiratoryratehz")</f>
        <v>beforebaselinerespiratoryratehz</v>
      </c>
      <c r="L23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""$1$2"")"),"pre__respiratory_rate__hz")</f>
        <v>pre__respiratory_rate__hz</v>
      </c>
      <c r="M235" s="272"/>
      <c r="N235" s="248" t="s">
        <v>7473</v>
      </c>
      <c r="O235" s="272"/>
      <c r="P235" s="270"/>
      <c r="Q235" s="270"/>
      <c r="R235" s="272"/>
      <c r="S235" s="272"/>
      <c r="T235" s="272"/>
      <c r="U235" s="272"/>
      <c r="V235" s="272"/>
      <c r="W235" s="272"/>
      <c r="X235" s="272"/>
      <c r="Y235" s="272"/>
      <c r="Z235" s="272"/>
    </row>
    <row r="236">
      <c r="A236" s="270"/>
      <c r="B236" s="268" t="s">
        <v>824</v>
      </c>
      <c r="C236" s="269" t="s">
        <v>842</v>
      </c>
      <c r="D236" s="268" t="s">
        <v>483</v>
      </c>
      <c r="E236" s="270" t="s">
        <v>843</v>
      </c>
      <c r="F236" s="123">
        <f t="shared" si="1"/>
        <v>0</v>
      </c>
      <c r="G236" s="269" t="s">
        <v>7474</v>
      </c>
      <c r="H236" s="45"/>
      <c r="I236" s="268" t="str">
        <f>IFERROR(__xludf.DUMMYFUNCTION("regexreplace(lower(C236), ""_"", """")"),"prerespiratorypipcmh2o")</f>
        <v>prerespiratorypipcmh2o</v>
      </c>
      <c r="J236" s="271" t="b">
        <f t="shared" si="20"/>
        <v>0</v>
      </c>
      <c r="K236" s="268" t="str">
        <f>IFERROR(__xludf.DUMMYFUNCTION("regexreplace(G236, ""_"", """")"),"beforebaselinerespiratorypipcmh2o")</f>
        <v>beforebaselinerespiratorypipcmh2o</v>
      </c>
      <c r="L23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""$1$2"")"),"pre__respiratory_p_i_p_cm_h2o")</f>
        <v>pre__respiratory_p_i_p_cm_h2o</v>
      </c>
      <c r="M236" s="272"/>
      <c r="N236" s="248" t="s">
        <v>7475</v>
      </c>
      <c r="O236" s="272"/>
      <c r="P236" s="270"/>
      <c r="Q236" s="270"/>
      <c r="R236" s="272"/>
      <c r="S236" s="272"/>
      <c r="T236" s="272"/>
      <c r="U236" s="272"/>
      <c r="V236" s="272"/>
      <c r="W236" s="272"/>
      <c r="X236" s="272"/>
      <c r="Y236" s="272"/>
      <c r="Z236" s="272"/>
    </row>
    <row r="237">
      <c r="A237" s="270"/>
      <c r="B237" s="268" t="s">
        <v>824</v>
      </c>
      <c r="C237" s="269" t="s">
        <v>845</v>
      </c>
      <c r="D237" s="268" t="s">
        <v>483</v>
      </c>
      <c r="E237" s="270" t="s">
        <v>846</v>
      </c>
      <c r="F237" s="123">
        <f t="shared" si="1"/>
        <v>0</v>
      </c>
      <c r="G237" s="269" t="s">
        <v>7476</v>
      </c>
      <c r="H237" s="45"/>
      <c r="I237" s="268" t="str">
        <f>IFERROR(__xludf.DUMMYFUNCTION("regexreplace(lower(C237), ""_"", """")"),"prerespiratorymapcmh2o")</f>
        <v>prerespiratorymapcmh2o</v>
      </c>
      <c r="J237" s="271" t="b">
        <f t="shared" si="20"/>
        <v>0</v>
      </c>
      <c r="K237" s="268" t="str">
        <f>IFERROR(__xludf.DUMMYFUNCTION("regexreplace(G237, ""_"", """")"),"beforebaselinerespiratorymapcmh2o")</f>
        <v>beforebaselinerespiratorymapcmh2o</v>
      </c>
      <c r="L23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""$1$2"")"),"pre__respiratory_m_a_p_cm_h2o")</f>
        <v>pre__respiratory_m_a_p_cm_h2o</v>
      </c>
      <c r="M237" s="272"/>
      <c r="N237" s="270"/>
      <c r="O237" s="272"/>
      <c r="P237" s="270"/>
      <c r="Q237" s="270"/>
      <c r="R237" s="272"/>
      <c r="S237" s="272"/>
      <c r="T237" s="272"/>
      <c r="U237" s="272"/>
      <c r="V237" s="272"/>
      <c r="W237" s="272"/>
      <c r="X237" s="272"/>
      <c r="Y237" s="272"/>
      <c r="Z237" s="272"/>
    </row>
    <row r="238">
      <c r="A238" s="270"/>
      <c r="B238" s="268" t="s">
        <v>824</v>
      </c>
      <c r="C238" s="269" t="s">
        <v>848</v>
      </c>
      <c r="D238" s="268" t="s">
        <v>483</v>
      </c>
      <c r="E238" s="270" t="s">
        <v>849</v>
      </c>
      <c r="F238" s="123">
        <f t="shared" si="1"/>
        <v>0</v>
      </c>
      <c r="G238" s="269" t="s">
        <v>7477</v>
      </c>
      <c r="H238" s="45"/>
      <c r="I238" s="268" t="str">
        <f>IFERROR(__xludf.DUMMYFUNCTION("regexreplace(lower(C238), ""_"", """")"),"prerespiratorypeepcmh2o")</f>
        <v>prerespiratorypeepcmh2o</v>
      </c>
      <c r="J238" s="271" t="b">
        <f t="shared" si="20"/>
        <v>0</v>
      </c>
      <c r="K238" s="268" t="str">
        <f>IFERROR(__xludf.DUMMYFUNCTION("regexreplace(G238, ""_"", """")"),"beforebaselinerespiratorypeepcmh2o")</f>
        <v>beforebaselinerespiratorypeepcmh2o</v>
      </c>
      <c r="L23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""$1$2"")"),"pre__respiratory_p_e_e_p_cm_h2o")</f>
        <v>pre__respiratory_p_e_e_p_cm_h2o</v>
      </c>
      <c r="M238" s="272"/>
      <c r="N238" s="248" t="s">
        <v>7478</v>
      </c>
      <c r="O238" s="272"/>
      <c r="P238" s="270"/>
      <c r="Q238" s="270"/>
      <c r="R238" s="272"/>
      <c r="S238" s="272"/>
      <c r="T238" s="272"/>
      <c r="U238" s="272"/>
      <c r="V238" s="272"/>
      <c r="W238" s="272"/>
      <c r="X238" s="272"/>
      <c r="Y238" s="272"/>
      <c r="Z238" s="272"/>
    </row>
    <row r="239">
      <c r="A239" s="45"/>
      <c r="B239" s="45"/>
      <c r="C239" s="45"/>
      <c r="D239" s="45"/>
      <c r="E239" s="45"/>
      <c r="F239" s="123">
        <f t="shared" si="1"/>
        <v>0</v>
      </c>
      <c r="G239" s="45" t="s">
        <v>851</v>
      </c>
      <c r="H239" s="45"/>
      <c r="I239" s="45" t="str">
        <f>IFERROR(__xludf.DUMMYFUNCTION("regexreplace(lower(C239), ""_"", """")"),"")</f>
        <v/>
      </c>
      <c r="J239" s="274" t="b">
        <f t="shared" si="20"/>
        <v>1</v>
      </c>
      <c r="K239" s="45" t="str">
        <f>IFERROR(__xludf.DUMMYFUNCTION("regexreplace(G239, ""_"", """")"),"")</f>
        <v/>
      </c>
      <c r="L239" s="4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239" s="275"/>
      <c r="N239" s="45"/>
      <c r="O239" s="275"/>
      <c r="P239" s="45"/>
      <c r="Q239" s="45"/>
      <c r="R239" s="275"/>
      <c r="S239" s="275"/>
      <c r="T239" s="275"/>
      <c r="U239" s="275"/>
      <c r="V239" s="275"/>
      <c r="W239" s="275"/>
      <c r="X239" s="275"/>
      <c r="Y239" s="275"/>
      <c r="Z239" s="275"/>
    </row>
    <row r="240">
      <c r="A240" s="189" t="s">
        <v>10</v>
      </c>
      <c r="B240" s="270" t="s">
        <v>852</v>
      </c>
      <c r="C240" s="269" t="s">
        <v>853</v>
      </c>
      <c r="D240" s="268" t="s">
        <v>26</v>
      </c>
      <c r="E240" s="270" t="s">
        <v>854</v>
      </c>
      <c r="F240" s="123">
        <f t="shared" si="1"/>
        <v>0</v>
      </c>
      <c r="G240" s="269" t="s">
        <v>7479</v>
      </c>
      <c r="H240" s="12" t="s">
        <v>828</v>
      </c>
      <c r="I240" s="268" t="str">
        <f>IFERROR(__xludf.DUMMYFUNCTION("regexreplace(lower(C240), ""_"", """")"),"prebloodgasdate")</f>
        <v>prebloodgasdate</v>
      </c>
      <c r="J240" s="271" t="b">
        <f t="shared" si="20"/>
        <v>0</v>
      </c>
      <c r="K240" s="268" t="str">
        <f>IFERROR(__xludf.DUMMYFUNCTION("regexreplace(G240, ""_"", """")"),"beforebaselinebloodgasdate")</f>
        <v>beforebaselinebloodgasdate</v>
      </c>
      <c r="L24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""$1$2"")"),"pre__blood_gas_date")</f>
        <v>pre__blood_gas_date</v>
      </c>
      <c r="M240" s="272"/>
      <c r="N240" s="248" t="s">
        <v>7416</v>
      </c>
      <c r="O240" s="272"/>
      <c r="P240" s="270"/>
      <c r="Q240" s="270"/>
      <c r="R240" s="272"/>
      <c r="S240" s="272"/>
      <c r="T240" s="272"/>
      <c r="U240" s="272"/>
      <c r="V240" s="272"/>
      <c r="W240" s="272"/>
      <c r="X240" s="272"/>
      <c r="Y240" s="272"/>
      <c r="Z240" s="272"/>
    </row>
    <row r="241">
      <c r="A241" s="270"/>
      <c r="B241" s="270" t="s">
        <v>852</v>
      </c>
      <c r="C241" s="269" t="s">
        <v>856</v>
      </c>
      <c r="D241" s="268" t="s">
        <v>145</v>
      </c>
      <c r="E241" s="270" t="s">
        <v>857</v>
      </c>
      <c r="F241" s="123">
        <f t="shared" si="1"/>
        <v>0</v>
      </c>
      <c r="G241" s="269" t="s">
        <v>7480</v>
      </c>
      <c r="H241" s="45"/>
      <c r="I241" s="268" t="str">
        <f>IFERROR(__xludf.DUMMYFUNCTION("regexreplace(lower(C241), ""_"", """")"),"prebloodgastime")</f>
        <v>prebloodgastime</v>
      </c>
      <c r="J241" s="271" t="b">
        <f t="shared" si="20"/>
        <v>0</v>
      </c>
      <c r="K241" s="268" t="str">
        <f>IFERROR(__xludf.DUMMYFUNCTION("regexreplace(G241, ""_"", """")"),"beforebaselinebloodgastime")</f>
        <v>beforebaselinebloodgastime</v>
      </c>
      <c r="L24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""$1$2"")"),"pre__blood_gas_time")</f>
        <v>pre__blood_gas_time</v>
      </c>
      <c r="M241" s="272"/>
      <c r="N241" s="270"/>
      <c r="O241" s="276"/>
      <c r="P241" s="270"/>
      <c r="Q241" s="270"/>
      <c r="R241" s="272"/>
      <c r="S241" s="272"/>
      <c r="T241" s="272"/>
      <c r="U241" s="272"/>
      <c r="V241" s="272"/>
      <c r="W241" s="272"/>
      <c r="X241" s="272"/>
      <c r="Y241" s="272"/>
      <c r="Z241" s="272"/>
    </row>
    <row r="242">
      <c r="A242" s="270"/>
      <c r="B242" s="270" t="s">
        <v>852</v>
      </c>
      <c r="C242" s="269" t="s">
        <v>859</v>
      </c>
      <c r="D242" s="268" t="s">
        <v>663</v>
      </c>
      <c r="E242" s="270"/>
      <c r="F242" s="123">
        <f t="shared" si="1"/>
        <v>0</v>
      </c>
      <c r="G242" s="269" t="s">
        <v>7481</v>
      </c>
      <c r="H242" s="45"/>
      <c r="I242" s="268" t="str">
        <f>IFERROR(__xludf.DUMMYFUNCTION("regexreplace(lower(C242), ""_"", """")"),"prebloodgassrc")</f>
        <v>prebloodgassrc</v>
      </c>
      <c r="J242" s="271" t="b">
        <f t="shared" si="20"/>
        <v>0</v>
      </c>
      <c r="K242" s="268" t="str">
        <f>IFERROR(__xludf.DUMMYFUNCTION("regexreplace(G242, ""_"", """")"),"beforebaselinebloodgassrc")</f>
        <v>beforebaselinebloodgassrc</v>
      </c>
      <c r="L24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""$1$2"")"),"pre__blood_gas_src")</f>
        <v>pre__blood_gas_src</v>
      </c>
      <c r="M242" s="272"/>
      <c r="N242" s="248" t="s">
        <v>7415</v>
      </c>
      <c r="O242" s="272"/>
      <c r="P242" s="270"/>
      <c r="Q242" s="270"/>
      <c r="R242" s="272"/>
      <c r="S242" s="272"/>
      <c r="T242" s="272"/>
      <c r="U242" s="272"/>
      <c r="V242" s="272"/>
      <c r="W242" s="272"/>
      <c r="X242" s="272"/>
      <c r="Y242" s="272"/>
      <c r="Z242" s="272"/>
    </row>
    <row r="243">
      <c r="A243" s="270"/>
      <c r="B243" s="270" t="s">
        <v>852</v>
      </c>
      <c r="C243" s="269" t="s">
        <v>861</v>
      </c>
      <c r="D243" s="268" t="s">
        <v>483</v>
      </c>
      <c r="E243" s="270" t="s">
        <v>862</v>
      </c>
      <c r="F243" s="123">
        <f t="shared" si="1"/>
        <v>0</v>
      </c>
      <c r="G243" s="269" t="s">
        <v>7482</v>
      </c>
      <c r="H243" s="45"/>
      <c r="I243" s="268" t="str">
        <f>IFERROR(__xludf.DUMMYFUNCTION("regexreplace(lower(C243), ""_"", """")"),"prebloodgasph")</f>
        <v>prebloodgasph</v>
      </c>
      <c r="J243" s="271" t="b">
        <f t="shared" si="20"/>
        <v>0</v>
      </c>
      <c r="K243" s="268" t="str">
        <f>IFERROR(__xludf.DUMMYFUNCTION("regexreplace(G243, ""_"", """")"),"beforebaselinebloodgasph")</f>
        <v>beforebaselinebloodgasph</v>
      </c>
      <c r="L24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""$1$2"")"),"pre__blood_gas_ph")</f>
        <v>pre__blood_gas_ph</v>
      </c>
      <c r="M243" s="272"/>
      <c r="N243" s="248" t="s">
        <v>7417</v>
      </c>
      <c r="O243" s="272"/>
      <c r="P243" s="270"/>
      <c r="Q243" s="270"/>
      <c r="R243" s="272"/>
      <c r="S243" s="272"/>
      <c r="T243" s="272"/>
      <c r="U243" s="272"/>
      <c r="V243" s="272"/>
      <c r="W243" s="272"/>
      <c r="X243" s="272"/>
      <c r="Y243" s="272"/>
      <c r="Z243" s="272"/>
    </row>
    <row r="244">
      <c r="A244" s="270"/>
      <c r="B244" s="270" t="s">
        <v>852</v>
      </c>
      <c r="C244" s="269" t="s">
        <v>864</v>
      </c>
      <c r="D244" s="268" t="s">
        <v>483</v>
      </c>
      <c r="E244" s="270" t="s">
        <v>865</v>
      </c>
      <c r="F244" s="123">
        <f t="shared" si="1"/>
        <v>0</v>
      </c>
      <c r="G244" s="269" t="s">
        <v>7483</v>
      </c>
      <c r="H244" s="45"/>
      <c r="I244" s="268" t="str">
        <f>IFERROR(__xludf.DUMMYFUNCTION("regexreplace(lower(C244), ""_"", """")"),"prebloodgaspco2mmhg")</f>
        <v>prebloodgaspco2mmhg</v>
      </c>
      <c r="J244" s="271" t="b">
        <f t="shared" si="20"/>
        <v>0</v>
      </c>
      <c r="K244" s="268" t="str">
        <f>IFERROR(__xludf.DUMMYFUNCTION("regexreplace(G244, ""_"", """")"),"beforebaselinebloodgaspco2mmhg")</f>
        <v>beforebaselinebloodgaspco2mmhg</v>
      </c>
      <c r="L24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""$1$2"")"),"pre__blood_gas_pco2__mmhg")</f>
        <v>pre__blood_gas_pco2__mmhg</v>
      </c>
      <c r="M244" s="272"/>
      <c r="N244" s="248" t="s">
        <v>7418</v>
      </c>
      <c r="O244" s="272"/>
      <c r="P244" s="270"/>
      <c r="Q244" s="270"/>
      <c r="R244" s="272"/>
      <c r="S244" s="272"/>
      <c r="T244" s="272"/>
      <c r="U244" s="272"/>
      <c r="V244" s="272"/>
      <c r="W244" s="272"/>
      <c r="X244" s="272"/>
      <c r="Y244" s="272"/>
      <c r="Z244" s="272"/>
    </row>
    <row r="245">
      <c r="A245" s="270"/>
      <c r="B245" s="270" t="s">
        <v>852</v>
      </c>
      <c r="C245" s="269" t="s">
        <v>867</v>
      </c>
      <c r="D245" s="268" t="s">
        <v>483</v>
      </c>
      <c r="E245" s="270" t="s">
        <v>868</v>
      </c>
      <c r="F245" s="123">
        <f t="shared" si="1"/>
        <v>0</v>
      </c>
      <c r="G245" s="269" t="s">
        <v>7484</v>
      </c>
      <c r="H245" s="45"/>
      <c r="I245" s="268" t="str">
        <f>IFERROR(__xludf.DUMMYFUNCTION("regexreplace(lower(C245), ""_"", """")"),"prebloodgaspo2mmhg")</f>
        <v>prebloodgaspo2mmhg</v>
      </c>
      <c r="J245" s="271" t="b">
        <f t="shared" si="20"/>
        <v>0</v>
      </c>
      <c r="K245" s="268" t="str">
        <f>IFERROR(__xludf.DUMMYFUNCTION("regexreplace(G245, ""_"", """")"),"beforebaselinebloodgaspo2mmhg")</f>
        <v>beforebaselinebloodgaspo2mmhg</v>
      </c>
      <c r="L24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""$1$2"")"),"pre__blood_gas_po2__mmhg")</f>
        <v>pre__blood_gas_po2__mmhg</v>
      </c>
      <c r="M245" s="272"/>
      <c r="N245" s="248" t="s">
        <v>7419</v>
      </c>
      <c r="O245" s="272"/>
      <c r="P245" s="270"/>
      <c r="Q245" s="270"/>
      <c r="R245" s="272"/>
      <c r="S245" s="272"/>
      <c r="T245" s="272"/>
      <c r="U245" s="272"/>
      <c r="V245" s="272"/>
      <c r="W245" s="272"/>
      <c r="X245" s="272"/>
      <c r="Y245" s="272"/>
      <c r="Z245" s="272"/>
    </row>
    <row r="246">
      <c r="A246" s="270"/>
      <c r="B246" s="270" t="s">
        <v>852</v>
      </c>
      <c r="C246" s="269" t="s">
        <v>870</v>
      </c>
      <c r="D246" s="268" t="s">
        <v>483</v>
      </c>
      <c r="E246" s="270" t="s">
        <v>871</v>
      </c>
      <c r="F246" s="123">
        <f t="shared" si="1"/>
        <v>0</v>
      </c>
      <c r="G246" s="269" t="s">
        <v>7485</v>
      </c>
      <c r="H246" s="45"/>
      <c r="I246" s="268" t="str">
        <f>IFERROR(__xludf.DUMMYFUNCTION("regexreplace(lower(C246), ""_"", """")"),"prebloodgashco3meqperl")</f>
        <v>prebloodgashco3meqperl</v>
      </c>
      <c r="J246" s="271" t="b">
        <f t="shared" si="20"/>
        <v>0</v>
      </c>
      <c r="K246" s="268" t="str">
        <f>IFERROR(__xludf.DUMMYFUNCTION("regexreplace(G246, ""_"", """")"),"beforebaselinebloodgashco3meqperl")</f>
        <v>beforebaselinebloodgashco3meqperl</v>
      </c>
      <c r="L24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""$1$2"")"),"pre__blood_gas_hco3__meqperl")</f>
        <v>pre__blood_gas_hco3__meqperl</v>
      </c>
      <c r="M246" s="272"/>
      <c r="N246" s="248" t="s">
        <v>7420</v>
      </c>
      <c r="O246" s="272"/>
      <c r="P246" s="270"/>
      <c r="Q246" s="270"/>
      <c r="R246" s="272"/>
      <c r="S246" s="272"/>
      <c r="T246" s="272"/>
      <c r="U246" s="272"/>
      <c r="V246" s="272"/>
      <c r="W246" s="272"/>
      <c r="X246" s="272"/>
      <c r="Y246" s="272"/>
      <c r="Z246" s="272"/>
    </row>
    <row r="247">
      <c r="A247" s="270"/>
      <c r="B247" s="270" t="s">
        <v>852</v>
      </c>
      <c r="C247" s="269" t="s">
        <v>873</v>
      </c>
      <c r="D247" s="268" t="s">
        <v>483</v>
      </c>
      <c r="E247" s="270" t="s">
        <v>874</v>
      </c>
      <c r="F247" s="123">
        <f t="shared" si="1"/>
        <v>0</v>
      </c>
      <c r="G247" s="269" t="s">
        <v>7486</v>
      </c>
      <c r="H247" s="45"/>
      <c r="I247" s="268" t="str">
        <f>IFERROR(__xludf.DUMMYFUNCTION("regexreplace(lower(C247), ""_"", """")"),"prebloodgasbasedeficitmeqperl")</f>
        <v>prebloodgasbasedeficitmeqperl</v>
      </c>
      <c r="J247" s="271" t="b">
        <f t="shared" si="20"/>
        <v>0</v>
      </c>
      <c r="K247" s="268" t="str">
        <f>IFERROR(__xludf.DUMMYFUNCTION("regexreplace(G247, ""_"", """")"),"beforebaselinebloodgasbasedeficit")</f>
        <v>beforebaselinebloodgasbasedeficit</v>
      </c>
      <c r="L24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""$1$2"")"),"pre__blood_gas_base_deficit__meqperl")</f>
        <v>pre__blood_gas_base_deficit__meqperl</v>
      </c>
      <c r="M247" s="272"/>
      <c r="N247" s="248" t="s">
        <v>7421</v>
      </c>
      <c r="O247" s="272"/>
      <c r="P247" s="270"/>
      <c r="Q247" s="270"/>
      <c r="R247" s="272"/>
      <c r="S247" s="272"/>
      <c r="T247" s="272"/>
      <c r="U247" s="272"/>
      <c r="V247" s="272"/>
      <c r="W247" s="272"/>
      <c r="X247" s="272"/>
      <c r="Y247" s="272"/>
      <c r="Z247" s="272"/>
    </row>
    <row r="248">
      <c r="A248" s="270"/>
      <c r="B248" s="270" t="s">
        <v>852</v>
      </c>
      <c r="C248" s="269" t="s">
        <v>876</v>
      </c>
      <c r="D248" s="268" t="s">
        <v>483</v>
      </c>
      <c r="E248" s="270" t="s">
        <v>877</v>
      </c>
      <c r="F248" s="123">
        <f t="shared" si="1"/>
        <v>0</v>
      </c>
      <c r="G248" s="269" t="s">
        <v>7487</v>
      </c>
      <c r="H248" s="45"/>
      <c r="I248" s="268" t="str">
        <f>IFERROR(__xludf.DUMMYFUNCTION("regexreplace(lower(C248), ""_"", """")"),"prebloodgasphcorrect")</f>
        <v>prebloodgasphcorrect</v>
      </c>
      <c r="J248" s="271" t="b">
        <f t="shared" si="20"/>
        <v>0</v>
      </c>
      <c r="K248" s="268" t="str">
        <f>IFERROR(__xludf.DUMMYFUNCTION("regexreplace(G248, ""_"", """")"),"beforebaselinebloodgasphcorrect")</f>
        <v>beforebaselinebloodgasphcorrect</v>
      </c>
      <c r="L24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""$1$2"")"),"pre__blood_gas_ph_correct")</f>
        <v>pre__blood_gas_ph_correct</v>
      </c>
      <c r="M248" s="272"/>
      <c r="N248" s="270"/>
      <c r="O248" s="272"/>
      <c r="P248" s="270"/>
      <c r="Q248" s="270"/>
      <c r="R248" s="272"/>
      <c r="S248" s="272"/>
      <c r="T248" s="272"/>
      <c r="U248" s="272"/>
      <c r="V248" s="272"/>
      <c r="W248" s="272"/>
      <c r="X248" s="272"/>
      <c r="Y248" s="272"/>
      <c r="Z248" s="272"/>
    </row>
    <row r="249">
      <c r="A249" s="270"/>
      <c r="B249" s="270" t="s">
        <v>852</v>
      </c>
      <c r="C249" s="269" t="s">
        <v>879</v>
      </c>
      <c r="D249" s="268" t="s">
        <v>483</v>
      </c>
      <c r="E249" s="270" t="s">
        <v>880</v>
      </c>
      <c r="F249" s="123">
        <f t="shared" si="1"/>
        <v>0</v>
      </c>
      <c r="G249" s="269" t="s">
        <v>7488</v>
      </c>
      <c r="H249" s="45"/>
      <c r="I249" s="268" t="str">
        <f>IFERROR(__xludf.DUMMYFUNCTION("regexreplace(lower(C249), ""_"", """")"),"prebloodgaspco2correctmmhg")</f>
        <v>prebloodgaspco2correctmmhg</v>
      </c>
      <c r="J249" s="271" t="b">
        <f t="shared" si="20"/>
        <v>0</v>
      </c>
      <c r="K249" s="268" t="str">
        <f>IFERROR(__xludf.DUMMYFUNCTION("regexreplace(G249, ""_"", """")"),"beforebaselinebloodgaspco2mmhgcorrect")</f>
        <v>beforebaselinebloodgaspco2mmhgcorrect</v>
      </c>
      <c r="L24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""$1$2"")"),"pre__blood_gas_pco2correct__mmhg")</f>
        <v>pre__blood_gas_pco2correct__mmhg</v>
      </c>
      <c r="M249" s="272"/>
      <c r="N249" s="270"/>
      <c r="O249" s="272"/>
      <c r="P249" s="270"/>
      <c r="Q249" s="270"/>
      <c r="R249" s="272"/>
      <c r="S249" s="272"/>
      <c r="T249" s="272"/>
      <c r="U249" s="272"/>
      <c r="V249" s="272"/>
      <c r="W249" s="272"/>
      <c r="X249" s="272"/>
      <c r="Y249" s="272"/>
      <c r="Z249" s="272"/>
    </row>
    <row r="250">
      <c r="A250" s="270"/>
      <c r="B250" s="270" t="s">
        <v>852</v>
      </c>
      <c r="C250" s="269" t="s">
        <v>882</v>
      </c>
      <c r="D250" s="268" t="s">
        <v>483</v>
      </c>
      <c r="E250" s="270" t="s">
        <v>883</v>
      </c>
      <c r="F250" s="123">
        <f t="shared" si="1"/>
        <v>0</v>
      </c>
      <c r="G250" s="269" t="s">
        <v>7489</v>
      </c>
      <c r="H250" s="45"/>
      <c r="I250" s="268" t="str">
        <f>IFERROR(__xludf.DUMMYFUNCTION("regexreplace(lower(C250), ""_"", """")"),"prebloodgaspo2correctmmhg")</f>
        <v>prebloodgaspo2correctmmhg</v>
      </c>
      <c r="J250" s="271" t="b">
        <f t="shared" si="20"/>
        <v>0</v>
      </c>
      <c r="K250" s="268" t="str">
        <f>IFERROR(__xludf.DUMMYFUNCTION("regexreplace(G250, ""_"", """")"),"beforebaselinebloodgaspo2mmhgcorrect")</f>
        <v>beforebaselinebloodgaspo2mmhgcorrect</v>
      </c>
      <c r="L25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""$1$2"")"),"pre__blood_gas_po2correct__mmhg")</f>
        <v>pre__blood_gas_po2correct__mmhg</v>
      </c>
      <c r="M250" s="272"/>
      <c r="N250" s="270"/>
      <c r="O250" s="272"/>
      <c r="P250" s="270"/>
      <c r="Q250" s="270"/>
      <c r="R250" s="272"/>
      <c r="S250" s="272"/>
      <c r="T250" s="272"/>
      <c r="U250" s="272"/>
      <c r="V250" s="272"/>
      <c r="W250" s="272"/>
      <c r="X250" s="272"/>
      <c r="Y250" s="272"/>
      <c r="Z250" s="272"/>
    </row>
    <row r="251">
      <c r="A251" s="270"/>
      <c r="B251" s="270" t="s">
        <v>852</v>
      </c>
      <c r="C251" s="269" t="s">
        <v>885</v>
      </c>
      <c r="D251" s="268" t="s">
        <v>483</v>
      </c>
      <c r="E251" s="270" t="s">
        <v>886</v>
      </c>
      <c r="F251" s="123">
        <f t="shared" si="1"/>
        <v>0</v>
      </c>
      <c r="G251" s="269" t="s">
        <v>7490</v>
      </c>
      <c r="H251" s="45"/>
      <c r="I251" s="268" t="str">
        <f>IFERROR(__xludf.DUMMYFUNCTION("regexreplace(lower(C251), ""_"", """")"),"prebloodgashco3correctmeqperl")</f>
        <v>prebloodgashco3correctmeqperl</v>
      </c>
      <c r="J251" s="271" t="b">
        <f t="shared" si="20"/>
        <v>0</v>
      </c>
      <c r="K251" s="268" t="str">
        <f>IFERROR(__xludf.DUMMYFUNCTION("regexreplace(G251, ""_"", """")"),"beforebaselinebloodgashco3meqperlcorrect")</f>
        <v>beforebaselinebloodgashco3meqperlcorrect</v>
      </c>
      <c r="L25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""$1$2"")"),"pre__blood_gas_hco3correct__meqperl")</f>
        <v>pre__blood_gas_hco3correct__meqperl</v>
      </c>
      <c r="M251" s="272"/>
      <c r="N251" s="270"/>
      <c r="O251" s="272"/>
      <c r="P251" s="270"/>
      <c r="Q251" s="270"/>
      <c r="R251" s="272"/>
      <c r="S251" s="272"/>
      <c r="T251" s="272"/>
      <c r="U251" s="272"/>
      <c r="V251" s="272"/>
      <c r="W251" s="272"/>
      <c r="X251" s="272"/>
      <c r="Y251" s="272"/>
      <c r="Z251" s="272"/>
    </row>
    <row r="252">
      <c r="A252" s="270"/>
      <c r="B252" s="270" t="s">
        <v>852</v>
      </c>
      <c r="C252" s="269" t="s">
        <v>888</v>
      </c>
      <c r="D252" s="268" t="s">
        <v>483</v>
      </c>
      <c r="E252" s="270" t="s">
        <v>889</v>
      </c>
      <c r="F252" s="123">
        <f t="shared" si="1"/>
        <v>0</v>
      </c>
      <c r="G252" s="269" t="s">
        <v>7491</v>
      </c>
      <c r="H252" s="45"/>
      <c r="I252" s="268" t="str">
        <f>IFERROR(__xludf.DUMMYFUNCTION("regexreplace(lower(C252), ""_"", """")"),"prebloodgasbasedeficitcorrectmeqperl")</f>
        <v>prebloodgasbasedeficitcorrectmeqperl</v>
      </c>
      <c r="J252" s="271" t="b">
        <f t="shared" si="20"/>
        <v>0</v>
      </c>
      <c r="K252" s="268" t="str">
        <f>IFERROR(__xludf.DUMMYFUNCTION("regexreplace(G252, ""_"", """")"),"beforebaselinebloodgasbasedeficitcorrect")</f>
        <v>beforebaselinebloodgasbasedeficitcorrect</v>
      </c>
      <c r="L25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""$1$2"")"),"pre__blood_gas_base_deficit_correct__meqperl")</f>
        <v>pre__blood_gas_base_deficit_correct__meqperl</v>
      </c>
      <c r="M252" s="272"/>
      <c r="N252" s="270"/>
      <c r="O252" s="272"/>
      <c r="P252" s="270"/>
      <c r="Q252" s="270"/>
      <c r="R252" s="272"/>
      <c r="S252" s="272"/>
      <c r="T252" s="272"/>
      <c r="U252" s="272"/>
      <c r="V252" s="272"/>
      <c r="W252" s="272"/>
      <c r="X252" s="272"/>
      <c r="Y252" s="272"/>
      <c r="Z252" s="272"/>
    </row>
    <row r="253">
      <c r="A253" s="45"/>
      <c r="B253" s="45"/>
      <c r="C253" s="45"/>
      <c r="D253" s="45"/>
      <c r="E253" s="45"/>
      <c r="F253" s="123">
        <f t="shared" si="1"/>
        <v>0</v>
      </c>
      <c r="G253" s="45"/>
      <c r="H253" s="45"/>
      <c r="I253" s="45"/>
      <c r="J253" s="45"/>
      <c r="K253" s="45"/>
      <c r="L253" s="45"/>
      <c r="M253" s="275"/>
      <c r="N253" s="45"/>
      <c r="O253" s="275"/>
      <c r="P253" s="45"/>
      <c r="Q253" s="45"/>
      <c r="R253" s="275"/>
      <c r="S253" s="275"/>
      <c r="T253" s="275"/>
      <c r="U253" s="275"/>
      <c r="V253" s="275"/>
      <c r="W253" s="275"/>
      <c r="X253" s="275"/>
      <c r="Y253" s="275"/>
      <c r="Z253" s="275"/>
    </row>
    <row r="254">
      <c r="A254" s="189" t="s">
        <v>10</v>
      </c>
      <c r="B254" s="246" t="s">
        <v>891</v>
      </c>
      <c r="C254" s="269" t="s">
        <v>892</v>
      </c>
      <c r="D254" s="268" t="s">
        <v>40</v>
      </c>
      <c r="E254" s="270" t="s">
        <v>893</v>
      </c>
      <c r="F254" s="123">
        <f t="shared" si="1"/>
        <v>0</v>
      </c>
      <c r="G254" s="269" t="s">
        <v>7492</v>
      </c>
      <c r="H254" s="12" t="s">
        <v>828</v>
      </c>
      <c r="I254" s="268" t="str">
        <f>IFERROR(__xludf.DUMMYFUNCTION("regexreplace(lower(C254), ""_"", """")"),"prehematology")</f>
        <v>prehematology</v>
      </c>
      <c r="J254" s="271" t="b">
        <f t="shared" ref="J254:J264" si="21">exact(I254, K254)</f>
        <v>0</v>
      </c>
      <c r="K254" s="268" t="str">
        <f>IFERROR(__xludf.DUMMYFUNCTION("regexreplace(G254, ""_"", """")"),"beforebaselinehematology")</f>
        <v>beforebaselinehematology</v>
      </c>
      <c r="L25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""$1$2"")"),"pre__hematology")</f>
        <v>pre__hematology</v>
      </c>
      <c r="M254" s="272"/>
      <c r="N254" s="277"/>
      <c r="O254" s="272"/>
      <c r="P254" s="277"/>
      <c r="Q254" s="270"/>
      <c r="R254" s="272"/>
      <c r="S254" s="272"/>
      <c r="T254" s="272"/>
      <c r="U254" s="272"/>
      <c r="V254" s="272"/>
      <c r="W254" s="272"/>
      <c r="X254" s="272"/>
      <c r="Y254" s="272"/>
      <c r="Z254" s="272"/>
    </row>
    <row r="255">
      <c r="A255" s="257"/>
      <c r="B255" s="246" t="s">
        <v>891</v>
      </c>
      <c r="C255" s="269" t="s">
        <v>895</v>
      </c>
      <c r="D255" s="268" t="s">
        <v>26</v>
      </c>
      <c r="E255" s="270" t="s">
        <v>896</v>
      </c>
      <c r="F255" s="123">
        <f t="shared" si="1"/>
        <v>0</v>
      </c>
      <c r="G255" s="269" t="s">
        <v>7493</v>
      </c>
      <c r="H255" s="45"/>
      <c r="I255" s="268" t="str">
        <f>IFERROR(__xludf.DUMMYFUNCTION("regexreplace(lower(C255), ""_"", """")"),"prehematologydate")</f>
        <v>prehematologydate</v>
      </c>
      <c r="J255" s="271" t="b">
        <f t="shared" si="21"/>
        <v>0</v>
      </c>
      <c r="K255" s="268" t="str">
        <f>IFERROR(__xludf.DUMMYFUNCTION("regexreplace(G255, ""_"", """")"),"beforebaselinehematologydate")</f>
        <v>beforebaselinehematologydate</v>
      </c>
      <c r="L25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""$1$2"")"),"pre__hematology_date")</f>
        <v>pre__hematology_date</v>
      </c>
      <c r="M255" s="272"/>
      <c r="N255" s="248" t="s">
        <v>7416</v>
      </c>
      <c r="O255" s="272"/>
      <c r="P255" s="270"/>
      <c r="Q255" s="278"/>
      <c r="R255" s="272"/>
      <c r="S255" s="272"/>
      <c r="T255" s="272"/>
      <c r="U255" s="272"/>
      <c r="V255" s="272"/>
      <c r="W255" s="272"/>
      <c r="X255" s="272"/>
      <c r="Y255" s="272"/>
      <c r="Z255" s="272"/>
    </row>
    <row r="256">
      <c r="A256" s="270"/>
      <c r="B256" s="246" t="s">
        <v>891</v>
      </c>
      <c r="C256" s="269" t="s">
        <v>898</v>
      </c>
      <c r="D256" s="268" t="s">
        <v>145</v>
      </c>
      <c r="E256" s="270" t="s">
        <v>899</v>
      </c>
      <c r="F256" s="123">
        <f t="shared" si="1"/>
        <v>0</v>
      </c>
      <c r="G256" s="269" t="s">
        <v>7494</v>
      </c>
      <c r="H256" s="45"/>
      <c r="I256" s="268" t="str">
        <f>IFERROR(__xludf.DUMMYFUNCTION("regexreplace(lower(C256), ""_"", """")"),"prehematologytime")</f>
        <v>prehematologytime</v>
      </c>
      <c r="J256" s="271" t="b">
        <f t="shared" si="21"/>
        <v>0</v>
      </c>
      <c r="K256" s="268" t="str">
        <f>IFERROR(__xludf.DUMMYFUNCTION("regexreplace(G256, ""_"", """")"),"beforebaselinehematologytime")</f>
        <v>beforebaselinehematologytime</v>
      </c>
      <c r="L25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""$1$2"")"),"pre__hematology_time")</f>
        <v>pre__hematology_time</v>
      </c>
      <c r="M256" s="272"/>
      <c r="N256" s="270"/>
      <c r="O256" s="272"/>
      <c r="P256" s="270"/>
      <c r="Q256" s="278"/>
      <c r="R256" s="272"/>
      <c r="S256" s="272"/>
      <c r="T256" s="272"/>
      <c r="U256" s="272"/>
      <c r="V256" s="272"/>
      <c r="W256" s="272"/>
      <c r="X256" s="272"/>
      <c r="Y256" s="272"/>
      <c r="Z256" s="272"/>
    </row>
    <row r="257">
      <c r="A257" s="270"/>
      <c r="B257" s="246" t="s">
        <v>891</v>
      </c>
      <c r="C257" s="269" t="s">
        <v>901</v>
      </c>
      <c r="D257" s="268" t="s">
        <v>483</v>
      </c>
      <c r="E257" s="270" t="s">
        <v>902</v>
      </c>
      <c r="F257" s="123">
        <f t="shared" si="1"/>
        <v>0</v>
      </c>
      <c r="G257" s="269" t="s">
        <v>7495</v>
      </c>
      <c r="H257" s="45"/>
      <c r="I257" s="268" t="str">
        <f>IFERROR(__xludf.DUMMYFUNCTION("regexreplace(lower(C257), ""_"", """")"),"prehematologywbc")</f>
        <v>prehematologywbc</v>
      </c>
      <c r="J257" s="271" t="b">
        <f t="shared" si="21"/>
        <v>0</v>
      </c>
      <c r="K257" s="268" t="str">
        <f>IFERROR(__xludf.DUMMYFUNCTION("regexreplace(G257, ""_"", """")"),"beforebaselinehematologywbc")</f>
        <v>beforebaselinehematologywbc</v>
      </c>
      <c r="L25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""$1$2"")"),"pre__hematology_w_b_c")</f>
        <v>pre__hematology_w_b_c</v>
      </c>
      <c r="M257" s="272"/>
      <c r="N257" s="248" t="s">
        <v>7496</v>
      </c>
      <c r="O257" s="272"/>
      <c r="P257" s="270"/>
      <c r="Q257" s="270"/>
      <c r="R257" s="272"/>
      <c r="S257" s="272"/>
      <c r="T257" s="272"/>
      <c r="U257" s="272"/>
      <c r="V257" s="272"/>
      <c r="W257" s="272"/>
      <c r="X257" s="272"/>
      <c r="Y257" s="272"/>
      <c r="Z257" s="272"/>
    </row>
    <row r="258">
      <c r="A258" s="270"/>
      <c r="B258" s="246" t="s">
        <v>891</v>
      </c>
      <c r="C258" s="269" t="s">
        <v>904</v>
      </c>
      <c r="D258" s="268" t="s">
        <v>483</v>
      </c>
      <c r="E258" s="270" t="s">
        <v>905</v>
      </c>
      <c r="F258" s="123">
        <f t="shared" si="1"/>
        <v>0</v>
      </c>
      <c r="G258" s="269" t="s">
        <v>7497</v>
      </c>
      <c r="H258" s="45"/>
      <c r="I258" s="268" t="str">
        <f>IFERROR(__xludf.DUMMYFUNCTION("regexreplace(lower(C258), ""_"", """")"),"prehematologyhemoglobin")</f>
        <v>prehematologyhemoglobin</v>
      </c>
      <c r="J258" s="271" t="b">
        <f t="shared" si="21"/>
        <v>0</v>
      </c>
      <c r="K258" s="268" t="str">
        <f>IFERROR(__xludf.DUMMYFUNCTION("regexreplace(G258, ""_"", """")"),"beforebaselinehematologyhemoglobin")</f>
        <v>beforebaselinehematologyhemoglobin</v>
      </c>
      <c r="L25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""$1$2"")"),"pre__hematology_hemoglobin")</f>
        <v>pre__hematology_hemoglobin</v>
      </c>
      <c r="M258" s="272"/>
      <c r="N258" s="248" t="s">
        <v>7498</v>
      </c>
      <c r="O258" s="272"/>
      <c r="P258" s="270"/>
      <c r="Q258" s="270"/>
      <c r="R258" s="272"/>
      <c r="S258" s="272"/>
      <c r="T258" s="272"/>
      <c r="U258" s="272"/>
      <c r="V258" s="272"/>
      <c r="W258" s="272"/>
      <c r="X258" s="272"/>
      <c r="Y258" s="272"/>
      <c r="Z258" s="272"/>
    </row>
    <row r="259">
      <c r="A259" s="270"/>
      <c r="B259" s="246" t="s">
        <v>891</v>
      </c>
      <c r="C259" s="269" t="s">
        <v>907</v>
      </c>
      <c r="D259" s="268" t="s">
        <v>483</v>
      </c>
      <c r="E259" s="270" t="s">
        <v>908</v>
      </c>
      <c r="F259" s="123">
        <f t="shared" si="1"/>
        <v>0</v>
      </c>
      <c r="G259" s="269" t="s">
        <v>7499</v>
      </c>
      <c r="H259" s="45"/>
      <c r="I259" s="268" t="str">
        <f>IFERROR(__xludf.DUMMYFUNCTION("regexreplace(lower(C259), ""_"", """")"),"prehematologypolymorphneutrophilsdifferentialcount")</f>
        <v>prehematologypolymorphneutrophilsdifferentialcount</v>
      </c>
      <c r="J259" s="271" t="b">
        <f t="shared" si="21"/>
        <v>0</v>
      </c>
      <c r="K259" s="268" t="str">
        <f>IFERROR(__xludf.DUMMYFUNCTION("regexreplace(G259, ""_"", """")"),"beforebaselinehematologypolymorphneutrophilsdifferentialcount")</f>
        <v>beforebaselinehematologypolymorphneutrophilsdifferentialcount</v>
      </c>
      <c r="L25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""$1$2"")"),"pre__hematology_polymorph_neutrophils_differential_count")</f>
        <v>pre__hematology_polymorph_neutrophils_differential_count</v>
      </c>
      <c r="M259" s="272"/>
      <c r="N259" s="248" t="s">
        <v>7500</v>
      </c>
      <c r="O259" s="272"/>
      <c r="P259" s="270"/>
      <c r="Q259" s="270"/>
      <c r="R259" s="272"/>
      <c r="S259" s="272"/>
      <c r="T259" s="272"/>
      <c r="U259" s="272"/>
      <c r="V259" s="272"/>
      <c r="W259" s="272"/>
      <c r="X259" s="272"/>
      <c r="Y259" s="272"/>
      <c r="Z259" s="272"/>
    </row>
    <row r="260">
      <c r="A260" s="270"/>
      <c r="B260" s="246" t="s">
        <v>891</v>
      </c>
      <c r="C260" s="269" t="s">
        <v>910</v>
      </c>
      <c r="D260" s="268" t="s">
        <v>483</v>
      </c>
      <c r="E260" s="270" t="s">
        <v>911</v>
      </c>
      <c r="F260" s="123">
        <f t="shared" si="1"/>
        <v>0</v>
      </c>
      <c r="G260" s="269" t="s">
        <v>7501</v>
      </c>
      <c r="H260" s="45"/>
      <c r="I260" s="268" t="str">
        <f>IFERROR(__xludf.DUMMYFUNCTION("regexreplace(lower(C260), ""_"", """")"),"prehematologymonocytes")</f>
        <v>prehematologymonocytes</v>
      </c>
      <c r="J260" s="271" t="b">
        <f t="shared" si="21"/>
        <v>0</v>
      </c>
      <c r="K260" s="268" t="str">
        <f>IFERROR(__xludf.DUMMYFUNCTION("regexreplace(G260, ""_"", """")"),"beforebaselinehematologymonocytes")</f>
        <v>beforebaselinehematologymonocytes</v>
      </c>
      <c r="L26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""$1$2"")"),"pre__hematology_monocytes")</f>
        <v>pre__hematology_monocytes</v>
      </c>
      <c r="M260" s="272"/>
      <c r="N260" s="248" t="s">
        <v>7502</v>
      </c>
      <c r="O260" s="272"/>
      <c r="P260" s="270"/>
      <c r="Q260" s="270"/>
      <c r="R260" s="272"/>
      <c r="S260" s="272"/>
      <c r="T260" s="272"/>
      <c r="U260" s="272"/>
      <c r="V260" s="272"/>
      <c r="W260" s="272"/>
      <c r="X260" s="272"/>
      <c r="Y260" s="272"/>
      <c r="Z260" s="272"/>
    </row>
    <row r="261">
      <c r="A261" s="270"/>
      <c r="B261" s="246" t="s">
        <v>891</v>
      </c>
      <c r="C261" s="269" t="s">
        <v>913</v>
      </c>
      <c r="D261" s="268" t="s">
        <v>483</v>
      </c>
      <c r="E261" s="270" t="s">
        <v>914</v>
      </c>
      <c r="F261" s="123">
        <f t="shared" si="1"/>
        <v>0</v>
      </c>
      <c r="G261" s="269" t="s">
        <v>7503</v>
      </c>
      <c r="H261" s="45"/>
      <c r="I261" s="268" t="str">
        <f>IFERROR(__xludf.DUMMYFUNCTION("regexreplace(lower(C261), ""_"", """")"),"prehematologylymphocytes")</f>
        <v>prehematologylymphocytes</v>
      </c>
      <c r="J261" s="271" t="b">
        <f t="shared" si="21"/>
        <v>0</v>
      </c>
      <c r="K261" s="268" t="str">
        <f>IFERROR(__xludf.DUMMYFUNCTION("regexreplace(G261, ""_"", """")"),"beforebaselinehematologylymphocytes")</f>
        <v>beforebaselinehematologylymphocytes</v>
      </c>
      <c r="L26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""$1$2"")"),"pre__hematology_lymphocytes")</f>
        <v>pre__hematology_lymphocytes</v>
      </c>
      <c r="M261" s="272"/>
      <c r="N261" s="248" t="s">
        <v>7504</v>
      </c>
      <c r="O261" s="272"/>
      <c r="P261" s="270"/>
      <c r="Q261" s="270"/>
      <c r="R261" s="272"/>
      <c r="S261" s="272"/>
      <c r="T261" s="272"/>
      <c r="U261" s="272"/>
      <c r="V261" s="272"/>
      <c r="W261" s="272"/>
      <c r="X261" s="272"/>
      <c r="Y261" s="272"/>
      <c r="Z261" s="272"/>
    </row>
    <row r="262">
      <c r="A262" s="270"/>
      <c r="B262" s="246" t="s">
        <v>891</v>
      </c>
      <c r="C262" s="269" t="s">
        <v>916</v>
      </c>
      <c r="D262" s="268" t="s">
        <v>483</v>
      </c>
      <c r="E262" s="270" t="s">
        <v>917</v>
      </c>
      <c r="F262" s="123">
        <f t="shared" si="1"/>
        <v>0</v>
      </c>
      <c r="G262" s="269" t="s">
        <v>7505</v>
      </c>
      <c r="H262" s="45"/>
      <c r="I262" s="268" t="str">
        <f>IFERROR(__xludf.DUMMYFUNCTION("regexreplace(lower(C262), ""_"", """")"),"prehematologyplateletcount")</f>
        <v>prehematologyplateletcount</v>
      </c>
      <c r="J262" s="271" t="b">
        <f t="shared" si="21"/>
        <v>0</v>
      </c>
      <c r="K262" s="268" t="str">
        <f>IFERROR(__xludf.DUMMYFUNCTION("regexreplace(G262, ""_"", """")"),"beforebaselinehematologyplateletcount")</f>
        <v>beforebaselinehematologyplateletcount</v>
      </c>
      <c r="L26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""$1$2"")"),"pre__hematology_platelet_count")</f>
        <v>pre__hematology_platelet_count</v>
      </c>
      <c r="M262" s="272"/>
      <c r="N262" s="270"/>
      <c r="O262" s="272"/>
      <c r="P262" s="270"/>
      <c r="Q262" s="270"/>
      <c r="R262" s="272"/>
      <c r="S262" s="272"/>
      <c r="T262" s="272"/>
      <c r="U262" s="272"/>
      <c r="V262" s="272"/>
      <c r="W262" s="272"/>
      <c r="X262" s="272"/>
      <c r="Y262" s="272"/>
      <c r="Z262" s="272"/>
    </row>
    <row r="263">
      <c r="A263" s="270"/>
      <c r="B263" s="246" t="s">
        <v>891</v>
      </c>
      <c r="C263" s="269" t="s">
        <v>919</v>
      </c>
      <c r="D263" s="268" t="s">
        <v>483</v>
      </c>
      <c r="E263" s="270" t="s">
        <v>920</v>
      </c>
      <c r="F263" s="123">
        <f t="shared" si="1"/>
        <v>0</v>
      </c>
      <c r="G263" s="269" t="s">
        <v>7506</v>
      </c>
      <c r="H263" s="45"/>
      <c r="I263" s="268" t="str">
        <f>IFERROR(__xludf.DUMMYFUNCTION("regexreplace(lower(C263), ""_"", """")"),"prehematologypts")</f>
        <v>prehematologypts</v>
      </c>
      <c r="J263" s="271" t="b">
        <f t="shared" si="21"/>
        <v>0</v>
      </c>
      <c r="K263" s="268" t="str">
        <f>IFERROR(__xludf.DUMMYFUNCTION("regexreplace(G263, ""_"", """")"),"beforebaselinehematologypt")</f>
        <v>beforebaselinehematologypt</v>
      </c>
      <c r="L26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""$1$2"")"),"pre__hematology_p_t_s")</f>
        <v>pre__hematology_p_t_s</v>
      </c>
      <c r="M263" s="272"/>
      <c r="N263" s="270"/>
      <c r="O263" s="272"/>
      <c r="P263" s="270"/>
      <c r="Q263" s="270"/>
      <c r="R263" s="272"/>
      <c r="S263" s="272"/>
      <c r="T263" s="272"/>
      <c r="U263" s="272"/>
      <c r="V263" s="272"/>
      <c r="W263" s="272"/>
      <c r="X263" s="272"/>
      <c r="Y263" s="272"/>
      <c r="Z263" s="272"/>
    </row>
    <row r="264">
      <c r="A264" s="270"/>
      <c r="B264" s="246" t="s">
        <v>891</v>
      </c>
      <c r="C264" s="269" t="s">
        <v>922</v>
      </c>
      <c r="D264" s="268" t="s">
        <v>483</v>
      </c>
      <c r="E264" s="270" t="s">
        <v>923</v>
      </c>
      <c r="F264" s="123">
        <f t="shared" si="1"/>
        <v>0</v>
      </c>
      <c r="G264" s="269" t="s">
        <v>7507</v>
      </c>
      <c r="H264" s="45"/>
      <c r="I264" s="268" t="str">
        <f>IFERROR(__xludf.DUMMYFUNCTION("regexreplace(lower(C264), ""_"", """")"),"prehematologyptts")</f>
        <v>prehematologyptts</v>
      </c>
      <c r="J264" s="271" t="b">
        <f t="shared" si="21"/>
        <v>0</v>
      </c>
      <c r="K264" s="268" t="str">
        <f>IFERROR(__xludf.DUMMYFUNCTION("regexreplace(G264, ""_"", """")"),"beforebaselinehematologyptt")</f>
        <v>beforebaselinehematologyptt</v>
      </c>
      <c r="L26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""$1$2"")"),"pre__hematology_p_t_t_s")</f>
        <v>pre__hematology_p_t_t_s</v>
      </c>
      <c r="M264" s="272"/>
      <c r="N264" s="270"/>
      <c r="O264" s="272"/>
      <c r="P264" s="270"/>
      <c r="Q264" s="270"/>
      <c r="R264" s="272"/>
      <c r="S264" s="272"/>
      <c r="T264" s="272"/>
      <c r="U264" s="272"/>
      <c r="V264" s="272"/>
      <c r="W264" s="272"/>
      <c r="X264" s="272"/>
      <c r="Y264" s="272"/>
      <c r="Z264" s="272"/>
    </row>
    <row r="265">
      <c r="A265" s="45"/>
      <c r="B265" s="45"/>
      <c r="C265" s="45"/>
      <c r="D265" s="45"/>
      <c r="E265" s="45"/>
      <c r="F265" s="123">
        <f t="shared" si="1"/>
        <v>0</v>
      </c>
      <c r="G265" s="45"/>
      <c r="H265" s="45"/>
      <c r="I265" s="45"/>
      <c r="J265" s="45"/>
      <c r="K265" s="45"/>
      <c r="L265" s="45"/>
      <c r="M265" s="275"/>
      <c r="N265" s="45"/>
      <c r="O265" s="275"/>
      <c r="P265" s="45"/>
      <c r="Q265" s="45"/>
      <c r="R265" s="275"/>
      <c r="S265" s="275"/>
      <c r="T265" s="275"/>
      <c r="U265" s="275"/>
      <c r="V265" s="275"/>
      <c r="W265" s="275"/>
      <c r="X265" s="275"/>
      <c r="Y265" s="275"/>
      <c r="Z265" s="275"/>
    </row>
    <row r="266">
      <c r="A266" s="189" t="s">
        <v>10</v>
      </c>
      <c r="B266" s="246" t="s">
        <v>925</v>
      </c>
      <c r="C266" s="247" t="s">
        <v>926</v>
      </c>
      <c r="D266" s="247" t="s">
        <v>40</v>
      </c>
      <c r="E266" s="255" t="s">
        <v>927</v>
      </c>
      <c r="F266" s="123">
        <f t="shared" si="1"/>
        <v>1</v>
      </c>
      <c r="G266" s="121" t="s">
        <v>7508</v>
      </c>
      <c r="H266" s="12"/>
      <c r="I266" s="192" t="str">
        <f>IFERROR(__xludf.DUMMYFUNCTION("regexreplace(lower(C266), ""_"", """")"),"prepositiveculture")</f>
        <v>prepositiveculture</v>
      </c>
      <c r="J266" s="192" t="b">
        <f t="shared" ref="J266:J276" si="22">exact(I266, K266)</f>
        <v>0</v>
      </c>
      <c r="K266" s="192" t="str">
        <f>IFERROR(__xludf.DUMMYFUNCTION("regexreplace(G266, ""_"", """")"),"beforebaselinepositiveculture")</f>
        <v>beforebaselinepositiveculture</v>
      </c>
      <c r="L2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""$1$2"")"),"pre__positive_culture")</f>
        <v>pre__positive_culture</v>
      </c>
      <c r="M266" s="257"/>
      <c r="N266" s="255"/>
      <c r="O266" s="257"/>
      <c r="P266" s="255" t="s">
        <v>929</v>
      </c>
      <c r="Q266" s="255"/>
      <c r="R266" s="258"/>
      <c r="S266" s="258"/>
      <c r="T266" s="257"/>
      <c r="U266" s="257"/>
      <c r="V266" s="257"/>
      <c r="W266" s="257"/>
      <c r="X266" s="257"/>
      <c r="Y266" s="257"/>
      <c r="Z266" s="257"/>
    </row>
    <row r="267">
      <c r="A267" s="246"/>
      <c r="B267" s="246" t="s">
        <v>925</v>
      </c>
      <c r="C267" s="247" t="s">
        <v>930</v>
      </c>
      <c r="D267" s="247" t="s">
        <v>931</v>
      </c>
      <c r="E267" s="255" t="s">
        <v>932</v>
      </c>
      <c r="F267" s="123">
        <f t="shared" si="1"/>
        <v>1</v>
      </c>
      <c r="G267" s="121" t="s">
        <v>7509</v>
      </c>
      <c r="H267" s="12"/>
      <c r="I267" s="192" t="str">
        <f>IFERROR(__xludf.DUMMYFUNCTION("regexreplace(lower(C267), ""_"", """")"),"prepositiveculturesrc")</f>
        <v>prepositiveculturesrc</v>
      </c>
      <c r="J267" s="192" t="b">
        <f t="shared" si="22"/>
        <v>0</v>
      </c>
      <c r="K267" s="192" t="str">
        <f>IFERROR(__xludf.DUMMYFUNCTION("regexreplace(G267, ""_"", """")"),"beforebaselinepositiveculturesrc")</f>
        <v>beforebaselinepositiveculturesrc</v>
      </c>
      <c r="L2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""$1$2"")"),"pre__positive_culture_src")</f>
        <v>pre__positive_culture_src</v>
      </c>
      <c r="M267" s="257"/>
      <c r="N267" s="255"/>
      <c r="O267" s="257"/>
      <c r="P267" s="255" t="s">
        <v>934</v>
      </c>
      <c r="Q267" s="255"/>
      <c r="R267" s="258"/>
      <c r="S267" s="258"/>
      <c r="T267" s="257"/>
      <c r="U267" s="257"/>
      <c r="V267" s="257"/>
      <c r="W267" s="257"/>
      <c r="X267" s="257"/>
      <c r="Y267" s="257"/>
      <c r="Z267" s="257"/>
    </row>
    <row r="268">
      <c r="A268" s="246"/>
      <c r="B268" s="246" t="s">
        <v>925</v>
      </c>
      <c r="C268" s="247" t="s">
        <v>935</v>
      </c>
      <c r="D268" s="247" t="s">
        <v>26</v>
      </c>
      <c r="E268" s="255" t="s">
        <v>936</v>
      </c>
      <c r="F268" s="123">
        <f t="shared" si="1"/>
        <v>1</v>
      </c>
      <c r="G268" s="121" t="s">
        <v>7510</v>
      </c>
      <c r="H268" s="12"/>
      <c r="I268" s="192" t="str">
        <f>IFERROR(__xludf.DUMMYFUNCTION("regexreplace(lower(C268), ""_"", """")"),"prepositiveculturedate")</f>
        <v>prepositiveculturedate</v>
      </c>
      <c r="J268" s="192" t="b">
        <f t="shared" si="22"/>
        <v>0</v>
      </c>
      <c r="K268" s="192" t="str">
        <f>IFERROR(__xludf.DUMMYFUNCTION("regexreplace(G268, ""_"", """")"),"beforebaselinepositiveculturedate")</f>
        <v>beforebaselinepositiveculturedate</v>
      </c>
      <c r="L2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""$1$2"")"),"pre__positive_culture_date")</f>
        <v>pre__positive_culture_date</v>
      </c>
      <c r="M268" s="257"/>
      <c r="N268" s="248" t="s">
        <v>7416</v>
      </c>
      <c r="O268" s="257"/>
      <c r="P268" s="255" t="s">
        <v>938</v>
      </c>
      <c r="Q268" s="255"/>
      <c r="R268" s="258"/>
      <c r="S268" s="258"/>
      <c r="T268" s="257"/>
      <c r="U268" s="257"/>
      <c r="V268" s="257"/>
      <c r="W268" s="257"/>
      <c r="X268" s="257"/>
      <c r="Y268" s="257"/>
      <c r="Z268" s="257"/>
    </row>
    <row r="269">
      <c r="A269" s="246"/>
      <c r="B269" s="246" t="s">
        <v>925</v>
      </c>
      <c r="C269" s="247" t="s">
        <v>939</v>
      </c>
      <c r="D269" s="247" t="s">
        <v>145</v>
      </c>
      <c r="E269" s="255" t="s">
        <v>940</v>
      </c>
      <c r="F269" s="123">
        <f t="shared" si="1"/>
        <v>1</v>
      </c>
      <c r="G269" s="121" t="s">
        <v>7511</v>
      </c>
      <c r="H269" s="12"/>
      <c r="I269" s="192" t="str">
        <f>IFERROR(__xludf.DUMMYFUNCTION("regexreplace(lower(C269), ""_"", """")"),"prepositiveculturetime")</f>
        <v>prepositiveculturetime</v>
      </c>
      <c r="J269" s="192" t="b">
        <f t="shared" si="22"/>
        <v>0</v>
      </c>
      <c r="K269" s="192" t="str">
        <f>IFERROR(__xludf.DUMMYFUNCTION("regexreplace(G269, ""_"", """")"),"beforebaselinepositiveculturetime")</f>
        <v>beforebaselinepositiveculturetime</v>
      </c>
      <c r="L2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""$1$2"")"),"pre__positive_culture_time")</f>
        <v>pre__positive_culture_time</v>
      </c>
      <c r="M269" s="257"/>
      <c r="N269" s="255"/>
      <c r="O269" s="257"/>
      <c r="P269" s="255" t="s">
        <v>942</v>
      </c>
      <c r="Q269" s="255"/>
      <c r="R269" s="258"/>
      <c r="S269" s="258"/>
      <c r="T269" s="257"/>
      <c r="U269" s="257"/>
      <c r="V269" s="257"/>
      <c r="W269" s="257"/>
      <c r="X269" s="257"/>
      <c r="Y269" s="257"/>
      <c r="Z269" s="257"/>
    </row>
    <row r="270">
      <c r="A270" s="246"/>
      <c r="B270" s="246" t="s">
        <v>925</v>
      </c>
      <c r="C270" s="247" t="s">
        <v>943</v>
      </c>
      <c r="D270" s="247" t="s">
        <v>944</v>
      </c>
      <c r="E270" s="255" t="s">
        <v>945</v>
      </c>
      <c r="F270" s="123">
        <f t="shared" si="1"/>
        <v>1</v>
      </c>
      <c r="G270" s="121" t="s">
        <v>7512</v>
      </c>
      <c r="H270" s="12"/>
      <c r="I270" s="192" t="str">
        <f>IFERROR(__xludf.DUMMYFUNCTION("regexreplace(lower(C270), ""_"", """")"),"prepositivecultureorganismcode1")</f>
        <v>prepositivecultureorganismcode1</v>
      </c>
      <c r="J270" s="192" t="b">
        <f t="shared" si="22"/>
        <v>0</v>
      </c>
      <c r="K270" s="192" t="str">
        <f>IFERROR(__xludf.DUMMYFUNCTION("regexreplace(G270, ""_"", """")"),"beforebaselinepositivecultureorganismcode1")</f>
        <v>beforebaselinepositivecultureorganismcode1</v>
      </c>
      <c r="L2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""$1$2"")"),"pre__positive_culture_organism_code1")</f>
        <v>pre__positive_culture_organism_code1</v>
      </c>
      <c r="M270" s="257"/>
      <c r="N270" s="255"/>
      <c r="O270" s="257"/>
      <c r="P270" s="255" t="s">
        <v>947</v>
      </c>
      <c r="Q270" s="255"/>
      <c r="R270" s="258"/>
      <c r="S270" s="258"/>
      <c r="T270" s="257"/>
      <c r="U270" s="257"/>
      <c r="V270" s="257"/>
      <c r="W270" s="257"/>
      <c r="X270" s="257"/>
      <c r="Y270" s="257"/>
      <c r="Z270" s="257"/>
    </row>
    <row r="271">
      <c r="A271" s="246"/>
      <c r="B271" s="246" t="s">
        <v>925</v>
      </c>
      <c r="C271" s="247" t="s">
        <v>948</v>
      </c>
      <c r="D271" s="247" t="s">
        <v>944</v>
      </c>
      <c r="E271" s="255" t="s">
        <v>949</v>
      </c>
      <c r="F271" s="123">
        <f t="shared" si="1"/>
        <v>1</v>
      </c>
      <c r="G271" s="121" t="s">
        <v>7513</v>
      </c>
      <c r="H271" s="12"/>
      <c r="I271" s="192" t="str">
        <f>IFERROR(__xludf.DUMMYFUNCTION("regexreplace(lower(C271), ""_"", """")"),"prepositivecultureorganismcode2")</f>
        <v>prepositivecultureorganismcode2</v>
      </c>
      <c r="J271" s="192" t="b">
        <f t="shared" si="22"/>
        <v>0</v>
      </c>
      <c r="K271" s="192" t="str">
        <f>IFERROR(__xludf.DUMMYFUNCTION("regexreplace(G271, ""_"", """")"),"beforebaselinepositivecultureorganismcode2")</f>
        <v>beforebaselinepositivecultureorganismcode2</v>
      </c>
      <c r="L2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""$1$2"")"),"pre__positive_culture_organism_code2")</f>
        <v>pre__positive_culture_organism_code2</v>
      </c>
      <c r="M271" s="257"/>
      <c r="N271" s="255"/>
      <c r="O271" s="257"/>
      <c r="P271" s="255" t="s">
        <v>951</v>
      </c>
      <c r="Q271" s="255"/>
      <c r="R271" s="258"/>
      <c r="S271" s="258"/>
      <c r="T271" s="257"/>
      <c r="U271" s="257"/>
      <c r="V271" s="257"/>
      <c r="W271" s="257"/>
      <c r="X271" s="257"/>
      <c r="Y271" s="257"/>
      <c r="Z271" s="257"/>
    </row>
    <row r="272">
      <c r="A272" s="246"/>
      <c r="B272" s="246" t="s">
        <v>925</v>
      </c>
      <c r="C272" s="247" t="s">
        <v>952</v>
      </c>
      <c r="D272" s="247" t="s">
        <v>944</v>
      </c>
      <c r="E272" s="255" t="s">
        <v>953</v>
      </c>
      <c r="F272" s="123">
        <f t="shared" si="1"/>
        <v>1</v>
      </c>
      <c r="G272" s="121" t="s">
        <v>7514</v>
      </c>
      <c r="H272" s="12"/>
      <c r="I272" s="192" t="str">
        <f>IFERROR(__xludf.DUMMYFUNCTION("regexreplace(lower(C272), ""_"", """")"),"prepositivecultureorganismcode3")</f>
        <v>prepositivecultureorganismcode3</v>
      </c>
      <c r="J272" s="192" t="b">
        <f t="shared" si="22"/>
        <v>0</v>
      </c>
      <c r="K272" s="192" t="str">
        <f>IFERROR(__xludf.DUMMYFUNCTION("regexreplace(G272, ""_"", """")"),"beforebaselinepositivecultureorganismcode3")</f>
        <v>beforebaselinepositivecultureorganismcode3</v>
      </c>
      <c r="L2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""$1$2"")"),"pre__positive_culture_organism_code3")</f>
        <v>pre__positive_culture_organism_code3</v>
      </c>
      <c r="M272" s="257"/>
      <c r="N272" s="255"/>
      <c r="O272" s="257"/>
      <c r="P272" s="255" t="s">
        <v>955</v>
      </c>
      <c r="Q272" s="255"/>
      <c r="R272" s="258"/>
      <c r="S272" s="258"/>
      <c r="T272" s="257"/>
      <c r="U272" s="257"/>
      <c r="V272" s="257"/>
      <c r="W272" s="257"/>
      <c r="X272" s="257"/>
      <c r="Y272" s="257"/>
      <c r="Z272" s="257"/>
    </row>
    <row r="273">
      <c r="A273" s="246"/>
      <c r="B273" s="246" t="s">
        <v>925</v>
      </c>
      <c r="C273" s="247" t="s">
        <v>956</v>
      </c>
      <c r="D273" s="247" t="s">
        <v>40</v>
      </c>
      <c r="E273" s="259" t="s">
        <v>957</v>
      </c>
      <c r="F273" s="123">
        <f t="shared" si="1"/>
        <v>2</v>
      </c>
      <c r="G273" s="121" t="s">
        <v>7515</v>
      </c>
      <c r="H273" s="12"/>
      <c r="I273" s="192" t="str">
        <f>IFERROR(__xludf.DUMMYFUNCTION("regexreplace(lower(C273), ""_"", """")"),"preantibiotics")</f>
        <v>preantibiotics</v>
      </c>
      <c r="J273" s="192" t="b">
        <f t="shared" si="22"/>
        <v>0</v>
      </c>
      <c r="K273" s="192" t="str">
        <f>IFERROR(__xludf.DUMMYFUNCTION("regexreplace(G273, ""_"", """")"),"beforebaselineantibiotics")</f>
        <v>beforebaselineantibiotics</v>
      </c>
      <c r="L2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""$1$2"")"),"pre__antibiotics")</f>
        <v>pre__antibiotics</v>
      </c>
      <c r="M273" s="257"/>
      <c r="N273" s="248"/>
      <c r="O273" s="257"/>
      <c r="P273" s="248" t="s">
        <v>959</v>
      </c>
      <c r="Q273" s="255" t="s">
        <v>960</v>
      </c>
      <c r="R273" s="257"/>
      <c r="S273" s="257"/>
      <c r="T273" s="257"/>
      <c r="U273" s="257"/>
      <c r="V273" s="257"/>
      <c r="W273" s="257"/>
      <c r="X273" s="257"/>
      <c r="Y273" s="257"/>
      <c r="Z273" s="257"/>
    </row>
    <row r="274">
      <c r="A274" s="246"/>
      <c r="B274" s="246" t="s">
        <v>925</v>
      </c>
      <c r="C274" s="247" t="s">
        <v>961</v>
      </c>
      <c r="D274" s="247" t="s">
        <v>436</v>
      </c>
      <c r="E274" s="259" t="s">
        <v>962</v>
      </c>
      <c r="F274" s="123">
        <f t="shared" si="1"/>
        <v>2</v>
      </c>
      <c r="G274" s="121" t="s">
        <v>7516</v>
      </c>
      <c r="H274" s="12"/>
      <c r="I274" s="192" t="str">
        <f>IFERROR(__xludf.DUMMYFUNCTION("regexreplace(lower(C274), ""_"", """")"),"preantibioticscode1")</f>
        <v>preantibioticscode1</v>
      </c>
      <c r="J274" s="192" t="b">
        <f t="shared" si="22"/>
        <v>0</v>
      </c>
      <c r="K274" s="192" t="str">
        <f>IFERROR(__xludf.DUMMYFUNCTION("regexreplace(G274, ""_"", """")"),"beforebaselineantibioticscode1")</f>
        <v>beforebaselineantibioticscode1</v>
      </c>
      <c r="L2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""$1$2"")"),"pre__antibiotics_code1")</f>
        <v>pre__antibiotics_code1</v>
      </c>
      <c r="M274" s="257"/>
      <c r="N274" s="248"/>
      <c r="O274" s="257"/>
      <c r="P274" s="248" t="s">
        <v>964</v>
      </c>
      <c r="Q274" s="255" t="s">
        <v>965</v>
      </c>
      <c r="R274" s="257"/>
      <c r="S274" s="257"/>
      <c r="T274" s="257"/>
      <c r="U274" s="257"/>
      <c r="V274" s="257"/>
      <c r="W274" s="257"/>
      <c r="X274" s="257"/>
      <c r="Y274" s="257"/>
      <c r="Z274" s="257"/>
    </row>
    <row r="275">
      <c r="A275" s="246"/>
      <c r="B275" s="246" t="s">
        <v>925</v>
      </c>
      <c r="C275" s="247" t="s">
        <v>966</v>
      </c>
      <c r="D275" s="247" t="s">
        <v>436</v>
      </c>
      <c r="E275" s="259" t="s">
        <v>967</v>
      </c>
      <c r="F275" s="123">
        <f t="shared" si="1"/>
        <v>2</v>
      </c>
      <c r="G275" s="121" t="s">
        <v>7517</v>
      </c>
      <c r="H275" s="12"/>
      <c r="I275" s="192" t="str">
        <f>IFERROR(__xludf.DUMMYFUNCTION("regexreplace(lower(C275), ""_"", """")"),"preantibioticscode2")</f>
        <v>preantibioticscode2</v>
      </c>
      <c r="J275" s="192" t="b">
        <f t="shared" si="22"/>
        <v>0</v>
      </c>
      <c r="K275" s="192" t="str">
        <f>IFERROR(__xludf.DUMMYFUNCTION("regexreplace(G275, ""_"", """")"),"beforebaselineantibioticscode2")</f>
        <v>beforebaselineantibioticscode2</v>
      </c>
      <c r="L2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""$1$2"")"),"pre__antibiotics_code2")</f>
        <v>pre__antibiotics_code2</v>
      </c>
      <c r="M275" s="257"/>
      <c r="N275" s="248"/>
      <c r="O275" s="257"/>
      <c r="P275" s="248" t="s">
        <v>969</v>
      </c>
      <c r="Q275" s="255" t="s">
        <v>970</v>
      </c>
      <c r="R275" s="257"/>
      <c r="S275" s="257"/>
      <c r="T275" s="257"/>
      <c r="U275" s="257"/>
      <c r="V275" s="257"/>
      <c r="W275" s="257"/>
      <c r="X275" s="257"/>
      <c r="Y275" s="257"/>
      <c r="Z275" s="257"/>
    </row>
    <row r="276">
      <c r="A276" s="246"/>
      <c r="B276" s="246" t="s">
        <v>925</v>
      </c>
      <c r="C276" s="247" t="s">
        <v>971</v>
      </c>
      <c r="D276" s="247" t="s">
        <v>436</v>
      </c>
      <c r="E276" s="259" t="s">
        <v>972</v>
      </c>
      <c r="F276" s="123">
        <f t="shared" si="1"/>
        <v>2</v>
      </c>
      <c r="G276" s="121" t="s">
        <v>7518</v>
      </c>
      <c r="H276" s="12"/>
      <c r="I276" s="192" t="str">
        <f>IFERROR(__xludf.DUMMYFUNCTION("regexreplace(lower(C276), ""_"", """")"),"preantibioticscode3")</f>
        <v>preantibioticscode3</v>
      </c>
      <c r="J276" s="192" t="b">
        <f t="shared" si="22"/>
        <v>0</v>
      </c>
      <c r="K276" s="192" t="str">
        <f>IFERROR(__xludf.DUMMYFUNCTION("regexreplace(G276, ""_"", """")"),"beforebaselineantibioticscode3")</f>
        <v>beforebaselineantibioticscode3</v>
      </c>
      <c r="L2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""$1$2"")"),"pre__antibiotics_code3")</f>
        <v>pre__antibiotics_code3</v>
      </c>
      <c r="M276" s="257"/>
      <c r="N276" s="248"/>
      <c r="O276" s="257"/>
      <c r="P276" s="248" t="s">
        <v>974</v>
      </c>
      <c r="Q276" s="255" t="s">
        <v>975</v>
      </c>
      <c r="R276" s="257"/>
      <c r="S276" s="257"/>
      <c r="T276" s="257"/>
      <c r="U276" s="257"/>
      <c r="V276" s="257"/>
      <c r="W276" s="257"/>
      <c r="X276" s="257"/>
      <c r="Y276" s="257"/>
      <c r="Z276" s="257"/>
    </row>
    <row r="277">
      <c r="A277" s="33"/>
      <c r="B277" s="33"/>
      <c r="C277" s="39"/>
      <c r="D277" s="39"/>
      <c r="E277" s="13"/>
      <c r="F277" s="123">
        <f t="shared" si="1"/>
        <v>0</v>
      </c>
      <c r="G277" s="12"/>
      <c r="H277" s="39"/>
      <c r="I277" s="12"/>
      <c r="J277" s="12"/>
      <c r="K277" s="12"/>
      <c r="L277" s="12"/>
      <c r="N277" s="15"/>
      <c r="P277" s="15"/>
      <c r="Q277" s="15"/>
      <c r="R277" s="88"/>
      <c r="S277" s="88"/>
    </row>
    <row r="278">
      <c r="A278" s="189" t="s">
        <v>10</v>
      </c>
      <c r="B278" s="268" t="s">
        <v>976</v>
      </c>
      <c r="C278" s="269" t="s">
        <v>977</v>
      </c>
      <c r="D278" s="268" t="s">
        <v>26</v>
      </c>
      <c r="E278" s="279" t="s">
        <v>978</v>
      </c>
      <c r="F278" s="123">
        <f t="shared" si="1"/>
        <v>0</v>
      </c>
      <c r="G278" s="269" t="s">
        <v>7519</v>
      </c>
      <c r="H278" s="12" t="s">
        <v>799</v>
      </c>
      <c r="I278" s="268" t="str">
        <f>IFERROR(__xludf.DUMMYFUNCTION("regexreplace(lower(C278), ""_"", """")"),"preothermedtargetdate")</f>
        <v>preothermedtargetdate</v>
      </c>
      <c r="J278" s="271" t="b">
        <f t="shared" ref="J278:J297" si="23">exact(I278, K278)</f>
        <v>0</v>
      </c>
      <c r="K278" s="268" t="str">
        <f>IFERROR(__xludf.DUMMYFUNCTION("regexreplace(G278, ""_"", """")"),"beforebaselineothermedtargetdate")</f>
        <v>beforebaselineothermedtargetdate</v>
      </c>
      <c r="L27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""$1$2"")"),"pre__other_med_target_date")</f>
        <v>pre__other_med_target_date</v>
      </c>
      <c r="M278" s="272"/>
      <c r="N278" s="248" t="s">
        <v>7416</v>
      </c>
      <c r="O278" s="272"/>
      <c r="P278" s="250"/>
      <c r="Q278" s="278"/>
      <c r="R278" s="272"/>
      <c r="S278" s="272"/>
      <c r="T278" s="272"/>
      <c r="U278" s="272"/>
      <c r="V278" s="272"/>
      <c r="W278" s="272"/>
      <c r="X278" s="272"/>
      <c r="Y278" s="272"/>
      <c r="Z278" s="272"/>
    </row>
    <row r="279">
      <c r="A279" s="270"/>
      <c r="B279" s="268" t="s">
        <v>976</v>
      </c>
      <c r="C279" s="269" t="s">
        <v>980</v>
      </c>
      <c r="D279" s="268" t="s">
        <v>145</v>
      </c>
      <c r="E279" s="279" t="s">
        <v>981</v>
      </c>
      <c r="F279" s="123">
        <f t="shared" si="1"/>
        <v>0</v>
      </c>
      <c r="G279" s="269" t="s">
        <v>7520</v>
      </c>
      <c r="H279" s="45"/>
      <c r="I279" s="268" t="str">
        <f>IFERROR(__xludf.DUMMYFUNCTION("regexreplace(lower(C279), ""_"", """")"),"preothermedtargettime")</f>
        <v>preothermedtargettime</v>
      </c>
      <c r="J279" s="271" t="b">
        <f t="shared" si="23"/>
        <v>0</v>
      </c>
      <c r="K279" s="268" t="str">
        <f>IFERROR(__xludf.DUMMYFUNCTION("regexreplace(G279, ""_"", """")"),"beforebaselineothermedtargettime")</f>
        <v>beforebaselineothermedtargettime</v>
      </c>
      <c r="L27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""$1$2"")"),"pre__other_med_target_time")</f>
        <v>pre__other_med_target_time</v>
      </c>
      <c r="M279" s="272"/>
      <c r="N279" s="250"/>
      <c r="O279" s="272"/>
      <c r="P279" s="250"/>
      <c r="Q279" s="278"/>
      <c r="R279" s="272"/>
      <c r="S279" s="272"/>
      <c r="T279" s="272"/>
      <c r="U279" s="272"/>
      <c r="V279" s="272"/>
      <c r="W279" s="272"/>
      <c r="X279" s="272"/>
      <c r="Y279" s="272"/>
      <c r="Z279" s="272"/>
    </row>
    <row r="280">
      <c r="A280" s="270"/>
      <c r="B280" s="268" t="s">
        <v>976</v>
      </c>
      <c r="C280" s="269" t="s">
        <v>983</v>
      </c>
      <c r="D280" s="268" t="s">
        <v>984</v>
      </c>
      <c r="E280" s="279" t="s">
        <v>985</v>
      </c>
      <c r="F280" s="123">
        <f t="shared" si="1"/>
        <v>0</v>
      </c>
      <c r="G280" s="269" t="s">
        <v>7521</v>
      </c>
      <c r="H280" s="45"/>
      <c r="I280" s="268" t="str">
        <f>IFERROR(__xludf.DUMMYFUNCTION("regexreplace(lower(C280), ""_"", """")"),"preanticonvulsants")</f>
        <v>preanticonvulsants</v>
      </c>
      <c r="J280" s="271" t="b">
        <f t="shared" si="23"/>
        <v>0</v>
      </c>
      <c r="K280" s="268" t="str">
        <f>IFERROR(__xludf.DUMMYFUNCTION("regexreplace(G280, ""_"", """")"),"beforebaselineanticonvulsants")</f>
        <v>beforebaselineanticonvulsants</v>
      </c>
      <c r="L28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""$1$2"")"),"pre__anticonvulsants")</f>
        <v>pre__anticonvulsants</v>
      </c>
      <c r="M280" s="272"/>
      <c r="N280" s="250"/>
      <c r="O280" s="272"/>
      <c r="P280" s="250"/>
      <c r="Q280" s="278"/>
      <c r="R280" s="272"/>
      <c r="S280" s="272"/>
      <c r="T280" s="272"/>
      <c r="U280" s="272"/>
      <c r="V280" s="272"/>
      <c r="W280" s="272"/>
      <c r="X280" s="272"/>
      <c r="Y280" s="272"/>
      <c r="Z280" s="272"/>
    </row>
    <row r="281">
      <c r="A281" s="270"/>
      <c r="B281" s="268" t="s">
        <v>976</v>
      </c>
      <c r="C281" s="269" t="s">
        <v>987</v>
      </c>
      <c r="D281" s="268" t="s">
        <v>984</v>
      </c>
      <c r="E281" s="273" t="s">
        <v>988</v>
      </c>
      <c r="F281" s="123">
        <f t="shared" si="1"/>
        <v>0</v>
      </c>
      <c r="G281" s="269" t="s">
        <v>7522</v>
      </c>
      <c r="H281" s="45"/>
      <c r="I281" s="268" t="str">
        <f>IFERROR(__xludf.DUMMYFUNCTION("regexreplace(lower(C281), ""_"", """")"),"preanticonvulsants1")</f>
        <v>preanticonvulsants1</v>
      </c>
      <c r="J281" s="271" t="b">
        <f t="shared" si="23"/>
        <v>0</v>
      </c>
      <c r="K281" s="268" t="str">
        <f>IFERROR(__xludf.DUMMYFUNCTION("regexreplace(G281, ""_"", """")"),"beforebaselineanticonvulsants1")</f>
        <v>beforebaselineanticonvulsants1</v>
      </c>
      <c r="L28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""$1$2"")"),"pre__anticonvulsants1")</f>
        <v>pre__anticonvulsants1</v>
      </c>
      <c r="M281" s="272"/>
      <c r="N281" s="270"/>
      <c r="O281" s="272"/>
      <c r="P281" s="270"/>
      <c r="Q281" s="270"/>
      <c r="R281" s="272"/>
      <c r="S281" s="272"/>
      <c r="T281" s="272"/>
      <c r="U281" s="272"/>
      <c r="V281" s="272"/>
      <c r="W281" s="272"/>
      <c r="X281" s="272"/>
      <c r="Y281" s="272"/>
      <c r="Z281" s="272"/>
    </row>
    <row r="282">
      <c r="A282" s="270"/>
      <c r="B282" s="268" t="s">
        <v>976</v>
      </c>
      <c r="C282" s="269" t="s">
        <v>990</v>
      </c>
      <c r="D282" s="268" t="s">
        <v>984</v>
      </c>
      <c r="E282" s="273" t="s">
        <v>991</v>
      </c>
      <c r="F282" s="123">
        <f t="shared" si="1"/>
        <v>0</v>
      </c>
      <c r="G282" s="269" t="s">
        <v>7523</v>
      </c>
      <c r="H282" s="45"/>
      <c r="I282" s="268" t="str">
        <f>IFERROR(__xludf.DUMMYFUNCTION("regexreplace(lower(C282), ""_"", """")"),"preanticonvulsants2")</f>
        <v>preanticonvulsants2</v>
      </c>
      <c r="J282" s="271" t="b">
        <f t="shared" si="23"/>
        <v>0</v>
      </c>
      <c r="K282" s="268" t="str">
        <f>IFERROR(__xludf.DUMMYFUNCTION("regexreplace(G282, ""_"", """")"),"beforebaselineanticonvulsants2")</f>
        <v>beforebaselineanticonvulsants2</v>
      </c>
      <c r="L28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""$1$2"")"),"pre__anticonvulsants2")</f>
        <v>pre__anticonvulsants2</v>
      </c>
      <c r="M282" s="272"/>
      <c r="N282" s="270"/>
      <c r="O282" s="272"/>
      <c r="P282" s="270"/>
      <c r="Q282" s="270"/>
      <c r="R282" s="272"/>
      <c r="S282" s="272"/>
      <c r="T282" s="272"/>
      <c r="U282" s="272"/>
      <c r="V282" s="272"/>
      <c r="W282" s="272"/>
      <c r="X282" s="272"/>
      <c r="Y282" s="272"/>
      <c r="Z282" s="272"/>
    </row>
    <row r="283">
      <c r="A283" s="270"/>
      <c r="B283" s="268" t="s">
        <v>976</v>
      </c>
      <c r="C283" s="269" t="s">
        <v>993</v>
      </c>
      <c r="D283" s="268" t="s">
        <v>984</v>
      </c>
      <c r="E283" s="273" t="s">
        <v>994</v>
      </c>
      <c r="F283" s="123">
        <f t="shared" si="1"/>
        <v>0</v>
      </c>
      <c r="G283" s="269" t="s">
        <v>7524</v>
      </c>
      <c r="H283" s="45"/>
      <c r="I283" s="268" t="str">
        <f>IFERROR(__xludf.DUMMYFUNCTION("regexreplace(lower(C283), ""_"", """")"),"preanticonvulsants3")</f>
        <v>preanticonvulsants3</v>
      </c>
      <c r="J283" s="271" t="b">
        <f t="shared" si="23"/>
        <v>0</v>
      </c>
      <c r="K283" s="268" t="str">
        <f>IFERROR(__xludf.DUMMYFUNCTION("regexreplace(G283, ""_"", """")"),"beforebaselineanticonvulsants3")</f>
        <v>beforebaselineanticonvulsants3</v>
      </c>
      <c r="L28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""$1$2"")"),"pre__anticonvulsants3")</f>
        <v>pre__anticonvulsants3</v>
      </c>
      <c r="M283" s="272"/>
      <c r="N283" s="270"/>
      <c r="O283" s="272"/>
      <c r="P283" s="270"/>
      <c r="Q283" s="270"/>
      <c r="R283" s="272"/>
      <c r="S283" s="272"/>
      <c r="T283" s="272"/>
      <c r="U283" s="272"/>
      <c r="V283" s="272"/>
      <c r="W283" s="272"/>
      <c r="X283" s="272"/>
      <c r="Y283" s="272"/>
      <c r="Z283" s="272"/>
    </row>
    <row r="284">
      <c r="A284" s="270"/>
      <c r="B284" s="268" t="s">
        <v>976</v>
      </c>
      <c r="C284" s="269" t="s">
        <v>996</v>
      </c>
      <c r="D284" s="268" t="s">
        <v>997</v>
      </c>
      <c r="E284" s="273" t="s">
        <v>998</v>
      </c>
      <c r="F284" s="123">
        <f t="shared" si="1"/>
        <v>0</v>
      </c>
      <c r="G284" s="269" t="s">
        <v>7525</v>
      </c>
      <c r="H284" s="45"/>
      <c r="I284" s="268" t="str">
        <f>IFERROR(__xludf.DUMMYFUNCTION("regexreplace(lower(C284), ""_"", """")"),"preanalgesics")</f>
        <v>preanalgesics</v>
      </c>
      <c r="J284" s="271" t="b">
        <f t="shared" si="23"/>
        <v>0</v>
      </c>
      <c r="K284" s="268" t="str">
        <f>IFERROR(__xludf.DUMMYFUNCTION("regexreplace(G284, ""_"", """")"),"beforebaselineanalgesics")</f>
        <v>beforebaselineanalgesics</v>
      </c>
      <c r="L28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""$1$2"")"),"pre__analgesics")</f>
        <v>pre__analgesics</v>
      </c>
      <c r="M284" s="272"/>
      <c r="N284" s="270"/>
      <c r="O284" s="272"/>
      <c r="P284" s="270"/>
      <c r="Q284" s="280"/>
      <c r="R284" s="272"/>
      <c r="S284" s="272"/>
      <c r="T284" s="272"/>
      <c r="U284" s="272"/>
      <c r="V284" s="272"/>
      <c r="W284" s="272"/>
      <c r="X284" s="272"/>
      <c r="Y284" s="272"/>
      <c r="Z284" s="272"/>
    </row>
    <row r="285">
      <c r="A285" s="270"/>
      <c r="B285" s="268" t="s">
        <v>976</v>
      </c>
      <c r="C285" s="269" t="s">
        <v>1000</v>
      </c>
      <c r="D285" s="268" t="s">
        <v>997</v>
      </c>
      <c r="E285" s="273" t="s">
        <v>1001</v>
      </c>
      <c r="F285" s="123">
        <f t="shared" si="1"/>
        <v>0</v>
      </c>
      <c r="G285" s="269" t="s">
        <v>7526</v>
      </c>
      <c r="H285" s="45"/>
      <c r="I285" s="268" t="str">
        <f>IFERROR(__xludf.DUMMYFUNCTION("regexreplace(lower(C285), ""_"", """")"),"preanalgesicssedatives1")</f>
        <v>preanalgesicssedatives1</v>
      </c>
      <c r="J285" s="271" t="b">
        <f t="shared" si="23"/>
        <v>0</v>
      </c>
      <c r="K285" s="268" t="str">
        <f>IFERROR(__xludf.DUMMYFUNCTION("regexreplace(G285, ""_"", """")"),"beforebaselineanalgesicssedatives1")</f>
        <v>beforebaselineanalgesicssedatives1</v>
      </c>
      <c r="L28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""$1$2"")"),"pre__analgesics_sedatives1")</f>
        <v>pre__analgesics_sedatives1</v>
      </c>
      <c r="M285" s="272"/>
      <c r="N285" s="270"/>
      <c r="O285" s="272"/>
      <c r="P285" s="270"/>
      <c r="Q285" s="270"/>
      <c r="R285" s="272"/>
      <c r="S285" s="272"/>
      <c r="T285" s="272"/>
      <c r="U285" s="272"/>
      <c r="V285" s="272"/>
      <c r="W285" s="272"/>
      <c r="X285" s="272"/>
      <c r="Y285" s="272"/>
      <c r="Z285" s="272"/>
    </row>
    <row r="286">
      <c r="A286" s="270"/>
      <c r="B286" s="268" t="s">
        <v>976</v>
      </c>
      <c r="C286" s="269" t="s">
        <v>1003</v>
      </c>
      <c r="D286" s="268" t="s">
        <v>997</v>
      </c>
      <c r="E286" s="273" t="s">
        <v>1004</v>
      </c>
      <c r="F286" s="123">
        <f t="shared" si="1"/>
        <v>0</v>
      </c>
      <c r="G286" s="269" t="s">
        <v>7527</v>
      </c>
      <c r="H286" s="45"/>
      <c r="I286" s="268" t="str">
        <f>IFERROR(__xludf.DUMMYFUNCTION("regexreplace(lower(C286), ""_"", """")"),"preanalgesicssedatives2")</f>
        <v>preanalgesicssedatives2</v>
      </c>
      <c r="J286" s="271" t="b">
        <f t="shared" si="23"/>
        <v>0</v>
      </c>
      <c r="K286" s="268" t="str">
        <f>IFERROR(__xludf.DUMMYFUNCTION("regexreplace(G286, ""_"", """")"),"beforebaselineanalgesicssedatives2")</f>
        <v>beforebaselineanalgesicssedatives2</v>
      </c>
      <c r="L28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""$1$2"")"),"pre__analgesics_sedatives2")</f>
        <v>pre__analgesics_sedatives2</v>
      </c>
      <c r="M286" s="272"/>
      <c r="N286" s="270"/>
      <c r="O286" s="272"/>
      <c r="P286" s="270"/>
      <c r="Q286" s="270"/>
      <c r="R286" s="272"/>
      <c r="S286" s="272"/>
      <c r="T286" s="272"/>
      <c r="U286" s="272"/>
      <c r="V286" s="272"/>
      <c r="W286" s="272"/>
      <c r="X286" s="272"/>
      <c r="Y286" s="272"/>
      <c r="Z286" s="272"/>
    </row>
    <row r="287">
      <c r="A287" s="270"/>
      <c r="B287" s="268" t="s">
        <v>976</v>
      </c>
      <c r="C287" s="269" t="s">
        <v>1006</v>
      </c>
      <c r="D287" s="268" t="s">
        <v>997</v>
      </c>
      <c r="E287" s="273" t="s">
        <v>1007</v>
      </c>
      <c r="F287" s="123">
        <f t="shared" si="1"/>
        <v>0</v>
      </c>
      <c r="G287" s="269" t="s">
        <v>7528</v>
      </c>
      <c r="H287" s="45"/>
      <c r="I287" s="268" t="str">
        <f>IFERROR(__xludf.DUMMYFUNCTION("regexreplace(lower(C287), ""_"", """")"),"preanalgesicssedatives3")</f>
        <v>preanalgesicssedatives3</v>
      </c>
      <c r="J287" s="271" t="b">
        <f t="shared" si="23"/>
        <v>0</v>
      </c>
      <c r="K287" s="268" t="str">
        <f>IFERROR(__xludf.DUMMYFUNCTION("regexreplace(G287, ""_"", """")"),"beforebaselineanalgesicssedatives3")</f>
        <v>beforebaselineanalgesicssedatives3</v>
      </c>
      <c r="L28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""$1$2"")"),"pre__analgesics_sedatives3")</f>
        <v>pre__analgesics_sedatives3</v>
      </c>
      <c r="M287" s="272"/>
      <c r="N287" s="270"/>
      <c r="O287" s="272"/>
      <c r="P287" s="270"/>
      <c r="Q287" s="270"/>
      <c r="R287" s="272"/>
      <c r="S287" s="272"/>
      <c r="T287" s="272"/>
      <c r="U287" s="272"/>
      <c r="V287" s="272"/>
      <c r="W287" s="272"/>
      <c r="X287" s="272"/>
      <c r="Y287" s="272"/>
      <c r="Z287" s="272"/>
    </row>
    <row r="288">
      <c r="A288" s="270"/>
      <c r="B288" s="268" t="s">
        <v>976</v>
      </c>
      <c r="C288" s="269" t="s">
        <v>1009</v>
      </c>
      <c r="D288" s="268" t="s">
        <v>1010</v>
      </c>
      <c r="E288" s="273" t="s">
        <v>1011</v>
      </c>
      <c r="F288" s="123">
        <f t="shared" si="1"/>
        <v>0</v>
      </c>
      <c r="G288" s="269" t="s">
        <v>7529</v>
      </c>
      <c r="H288" s="45"/>
      <c r="I288" s="268" t="str">
        <f>IFERROR(__xludf.DUMMYFUNCTION("regexreplace(lower(C288), ""_"", """")"),"preantipyretics")</f>
        <v>preantipyretics</v>
      </c>
      <c r="J288" s="271" t="b">
        <f t="shared" si="23"/>
        <v>0</v>
      </c>
      <c r="K288" s="268" t="str">
        <f>IFERROR(__xludf.DUMMYFUNCTION("regexreplace(G288, ""_"", """")"),"beforebaselineantipyretics")</f>
        <v>beforebaselineantipyretics</v>
      </c>
      <c r="L28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""$1$2"")"),"pre__antipyretics")</f>
        <v>pre__antipyretics</v>
      </c>
      <c r="M288" s="272"/>
      <c r="N288" s="270"/>
      <c r="O288" s="272"/>
      <c r="P288" s="270"/>
      <c r="Q288" s="280"/>
      <c r="R288" s="272"/>
      <c r="S288" s="272"/>
      <c r="T288" s="272"/>
      <c r="U288" s="272"/>
      <c r="V288" s="272"/>
      <c r="W288" s="272"/>
      <c r="X288" s="272"/>
      <c r="Y288" s="272"/>
      <c r="Z288" s="272"/>
    </row>
    <row r="289">
      <c r="A289" s="270"/>
      <c r="B289" s="268" t="s">
        <v>976</v>
      </c>
      <c r="C289" s="269" t="s">
        <v>1013</v>
      </c>
      <c r="D289" s="268" t="s">
        <v>1010</v>
      </c>
      <c r="E289" s="273" t="s">
        <v>1014</v>
      </c>
      <c r="F289" s="123">
        <f t="shared" si="1"/>
        <v>0</v>
      </c>
      <c r="G289" s="269" t="s">
        <v>7530</v>
      </c>
      <c r="H289" s="45"/>
      <c r="I289" s="268" t="str">
        <f>IFERROR(__xludf.DUMMYFUNCTION("regexreplace(lower(C289), ""_"", """")"),"preantipyretics1")</f>
        <v>preantipyretics1</v>
      </c>
      <c r="J289" s="271" t="b">
        <f t="shared" si="23"/>
        <v>0</v>
      </c>
      <c r="K289" s="268" t="str">
        <f>IFERROR(__xludf.DUMMYFUNCTION("regexreplace(G289, ""_"", """")"),"beforebaselineantipyretics1")</f>
        <v>beforebaselineantipyretics1</v>
      </c>
      <c r="L28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""$1$2"")"),"pre__antipyretics1")</f>
        <v>pre__antipyretics1</v>
      </c>
      <c r="M289" s="272"/>
      <c r="N289" s="270"/>
      <c r="O289" s="272"/>
      <c r="P289" s="270"/>
      <c r="Q289" s="270"/>
      <c r="R289" s="272"/>
      <c r="S289" s="272"/>
      <c r="T289" s="272"/>
      <c r="U289" s="272"/>
      <c r="V289" s="272"/>
      <c r="W289" s="272"/>
      <c r="X289" s="272"/>
      <c r="Y289" s="272"/>
      <c r="Z289" s="272"/>
    </row>
    <row r="290">
      <c r="A290" s="270"/>
      <c r="B290" s="268" t="s">
        <v>976</v>
      </c>
      <c r="C290" s="269" t="s">
        <v>1016</v>
      </c>
      <c r="D290" s="268" t="s">
        <v>1010</v>
      </c>
      <c r="E290" s="273" t="s">
        <v>1017</v>
      </c>
      <c r="F290" s="123">
        <f t="shared" si="1"/>
        <v>0</v>
      </c>
      <c r="G290" s="269" t="s">
        <v>7531</v>
      </c>
      <c r="H290" s="45"/>
      <c r="I290" s="268" t="str">
        <f>IFERROR(__xludf.DUMMYFUNCTION("regexreplace(lower(C290), ""_"", """")"),"preantipyretics2")</f>
        <v>preantipyretics2</v>
      </c>
      <c r="J290" s="271" t="b">
        <f t="shared" si="23"/>
        <v>0</v>
      </c>
      <c r="K290" s="268" t="str">
        <f>IFERROR(__xludf.DUMMYFUNCTION("regexreplace(G290, ""_"", """")"),"beforebaselineantipyretics2")</f>
        <v>beforebaselineantipyretics2</v>
      </c>
      <c r="L29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""$1$2"")"),"pre__antipyretics2")</f>
        <v>pre__antipyretics2</v>
      </c>
      <c r="M290" s="272"/>
      <c r="N290" s="270"/>
      <c r="O290" s="272"/>
      <c r="P290" s="270"/>
      <c r="Q290" s="270"/>
      <c r="R290" s="272"/>
      <c r="S290" s="272"/>
      <c r="T290" s="272"/>
      <c r="U290" s="272"/>
      <c r="V290" s="272"/>
      <c r="W290" s="272"/>
      <c r="X290" s="272"/>
      <c r="Y290" s="272"/>
      <c r="Z290" s="272"/>
    </row>
    <row r="291">
      <c r="A291" s="270"/>
      <c r="B291" s="268" t="s">
        <v>976</v>
      </c>
      <c r="C291" s="269" t="s">
        <v>1019</v>
      </c>
      <c r="D291" s="268" t="s">
        <v>1010</v>
      </c>
      <c r="E291" s="273" t="s">
        <v>1020</v>
      </c>
      <c r="F291" s="123">
        <f t="shared" si="1"/>
        <v>0</v>
      </c>
      <c r="G291" s="269" t="s">
        <v>7532</v>
      </c>
      <c r="H291" s="45"/>
      <c r="I291" s="268" t="str">
        <f>IFERROR(__xludf.DUMMYFUNCTION("regexreplace(lower(C291), ""_"", """")"),"preantipyretics3")</f>
        <v>preantipyretics3</v>
      </c>
      <c r="J291" s="271" t="b">
        <f t="shared" si="23"/>
        <v>0</v>
      </c>
      <c r="K291" s="268" t="str">
        <f>IFERROR(__xludf.DUMMYFUNCTION("regexreplace(G291, ""_"", """")"),"beforebaselineantipyretics3")</f>
        <v>beforebaselineantipyretics3</v>
      </c>
      <c r="L29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""$1$2"")"),"pre__antipyretics3")</f>
        <v>pre__antipyretics3</v>
      </c>
      <c r="M291" s="272"/>
      <c r="N291" s="270"/>
      <c r="O291" s="272"/>
      <c r="P291" s="270"/>
      <c r="Q291" s="270"/>
      <c r="R291" s="272"/>
      <c r="S291" s="272"/>
      <c r="T291" s="272"/>
      <c r="U291" s="272"/>
      <c r="V291" s="272"/>
      <c r="W291" s="272"/>
      <c r="X291" s="272"/>
      <c r="Y291" s="272"/>
      <c r="Z291" s="272"/>
    </row>
    <row r="292">
      <c r="A292" s="270"/>
      <c r="B292" s="268" t="s">
        <v>976</v>
      </c>
      <c r="C292" s="269" t="s">
        <v>1022</v>
      </c>
      <c r="D292" s="268" t="s">
        <v>1023</v>
      </c>
      <c r="E292" s="270"/>
      <c r="F292" s="123">
        <f t="shared" si="1"/>
        <v>0</v>
      </c>
      <c r="G292" s="269" t="s">
        <v>7533</v>
      </c>
      <c r="H292" s="45"/>
      <c r="I292" s="268" t="str">
        <f>IFERROR(__xludf.DUMMYFUNCTION("regexreplace(lower(C292), ""_"", """")"),"preparalytics")</f>
        <v>preparalytics</v>
      </c>
      <c r="J292" s="271" t="b">
        <f t="shared" si="23"/>
        <v>0</v>
      </c>
      <c r="K292" s="268" t="str">
        <f>IFERROR(__xludf.DUMMYFUNCTION("regexreplace(G292, ""_"", """")"),"beforebaselineparalytics")</f>
        <v>beforebaselineparalytics</v>
      </c>
      <c r="L29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""$1$2"")"),"pre__paralytics")</f>
        <v>pre__paralytics</v>
      </c>
      <c r="M292" s="272"/>
      <c r="N292" s="270"/>
      <c r="O292" s="272"/>
      <c r="P292" s="270"/>
      <c r="Q292" s="270"/>
      <c r="R292" s="272"/>
      <c r="S292" s="272"/>
      <c r="T292" s="272"/>
      <c r="U292" s="272"/>
      <c r="V292" s="272"/>
      <c r="W292" s="272"/>
      <c r="X292" s="272"/>
      <c r="Y292" s="272"/>
      <c r="Z292" s="272"/>
    </row>
    <row r="293">
      <c r="A293" s="270"/>
      <c r="B293" s="268" t="s">
        <v>976</v>
      </c>
      <c r="C293" s="269" t="s">
        <v>1025</v>
      </c>
      <c r="D293" s="268" t="s">
        <v>1023</v>
      </c>
      <c r="E293" s="273" t="s">
        <v>1026</v>
      </c>
      <c r="F293" s="123">
        <f t="shared" si="1"/>
        <v>0</v>
      </c>
      <c r="G293" s="269" t="s">
        <v>7534</v>
      </c>
      <c r="H293" s="45"/>
      <c r="I293" s="268" t="str">
        <f>IFERROR(__xludf.DUMMYFUNCTION("regexreplace(lower(C293), ""_"", """")"),"preparalytics1")</f>
        <v>preparalytics1</v>
      </c>
      <c r="J293" s="271" t="b">
        <f t="shared" si="23"/>
        <v>0</v>
      </c>
      <c r="K293" s="268" t="str">
        <f>IFERROR(__xludf.DUMMYFUNCTION("regexreplace(G293, ""_"", """")"),"beforebaselineparalytics1")</f>
        <v>beforebaselineparalytics1</v>
      </c>
      <c r="L29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""$1$2"")"),"pre__paralytics1")</f>
        <v>pre__paralytics1</v>
      </c>
      <c r="M293" s="272"/>
      <c r="N293" s="270"/>
      <c r="O293" s="272"/>
      <c r="P293" s="270"/>
      <c r="Q293" s="270"/>
      <c r="R293" s="272"/>
      <c r="S293" s="272"/>
      <c r="T293" s="272"/>
      <c r="U293" s="272"/>
      <c r="V293" s="272"/>
      <c r="W293" s="272"/>
      <c r="X293" s="272"/>
      <c r="Y293" s="272"/>
      <c r="Z293" s="272"/>
    </row>
    <row r="294">
      <c r="A294" s="270"/>
      <c r="B294" s="268" t="s">
        <v>976</v>
      </c>
      <c r="C294" s="269" t="s">
        <v>1028</v>
      </c>
      <c r="D294" s="268" t="s">
        <v>1023</v>
      </c>
      <c r="E294" s="273" t="s">
        <v>1029</v>
      </c>
      <c r="F294" s="123">
        <f t="shared" si="1"/>
        <v>0</v>
      </c>
      <c r="G294" s="269" t="s">
        <v>7535</v>
      </c>
      <c r="H294" s="45"/>
      <c r="I294" s="268" t="str">
        <f>IFERROR(__xludf.DUMMYFUNCTION("regexreplace(lower(C294), ""_"", """")"),"preparalytics2")</f>
        <v>preparalytics2</v>
      </c>
      <c r="J294" s="271" t="b">
        <f t="shared" si="23"/>
        <v>0</v>
      </c>
      <c r="K294" s="268" t="str">
        <f>IFERROR(__xludf.DUMMYFUNCTION("regexreplace(G294, ""_"", """")"),"beforebaselineparalytics2")</f>
        <v>beforebaselineparalytics2</v>
      </c>
      <c r="L29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""$1$2"")"),"pre__paralytics2")</f>
        <v>pre__paralytics2</v>
      </c>
      <c r="M294" s="272"/>
      <c r="N294" s="270"/>
      <c r="O294" s="272"/>
      <c r="P294" s="270"/>
      <c r="Q294" s="270"/>
      <c r="R294" s="272"/>
      <c r="S294" s="272"/>
      <c r="T294" s="272"/>
      <c r="U294" s="272"/>
      <c r="V294" s="272"/>
      <c r="W294" s="272"/>
      <c r="X294" s="272"/>
      <c r="Y294" s="272"/>
      <c r="Z294" s="272"/>
    </row>
    <row r="295">
      <c r="A295" s="270"/>
      <c r="B295" s="268" t="s">
        <v>976</v>
      </c>
      <c r="C295" s="269" t="s">
        <v>1031</v>
      </c>
      <c r="D295" s="268" t="s">
        <v>1023</v>
      </c>
      <c r="E295" s="273" t="s">
        <v>1032</v>
      </c>
      <c r="F295" s="123">
        <f t="shared" si="1"/>
        <v>0</v>
      </c>
      <c r="G295" s="269" t="s">
        <v>7536</v>
      </c>
      <c r="H295" s="45"/>
      <c r="I295" s="268" t="str">
        <f>IFERROR(__xludf.DUMMYFUNCTION("regexreplace(lower(C295), ""_"", """")"),"preparalytics3")</f>
        <v>preparalytics3</v>
      </c>
      <c r="J295" s="271" t="b">
        <f t="shared" si="23"/>
        <v>0</v>
      </c>
      <c r="K295" s="268" t="str">
        <f>IFERROR(__xludf.DUMMYFUNCTION("regexreplace(G295, ""_"", """")"),"beforebaselineparalytics3")</f>
        <v>beforebaselineparalytics3</v>
      </c>
      <c r="L29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""$1$2"")"),"pre__paralytics3")</f>
        <v>pre__paralytics3</v>
      </c>
      <c r="M295" s="272"/>
      <c r="N295" s="270"/>
      <c r="O295" s="272"/>
      <c r="P295" s="270"/>
      <c r="Q295" s="270"/>
      <c r="R295" s="272"/>
      <c r="S295" s="272"/>
      <c r="T295" s="272"/>
      <c r="U295" s="272"/>
      <c r="V295" s="272"/>
      <c r="W295" s="272"/>
      <c r="X295" s="272"/>
      <c r="Y295" s="272"/>
      <c r="Z295" s="272"/>
    </row>
    <row r="296">
      <c r="A296" s="270"/>
      <c r="B296" s="268" t="s">
        <v>976</v>
      </c>
      <c r="C296" s="269" t="s">
        <v>1034</v>
      </c>
      <c r="D296" s="268" t="s">
        <v>483</v>
      </c>
      <c r="E296" s="270" t="s">
        <v>1035</v>
      </c>
      <c r="F296" s="123">
        <f t="shared" si="1"/>
        <v>0</v>
      </c>
      <c r="G296" s="269" t="s">
        <v>7537</v>
      </c>
      <c r="H296" s="45"/>
      <c r="I296" s="268" t="str">
        <f>IFERROR(__xludf.DUMMYFUNCTION("regexreplace(lower(C296), ""_"", """")"),"preothermedfluidintakeccperkg")</f>
        <v>preothermedfluidintakeccperkg</v>
      </c>
      <c r="J296" s="271" t="b">
        <f t="shared" si="23"/>
        <v>0</v>
      </c>
      <c r="K296" s="268" t="str">
        <f>IFERROR(__xludf.DUMMYFUNCTION("regexreplace(G296, ""_"", """")"),"beforebaselineothermedfluidintake")</f>
        <v>beforebaselineothermedfluidintake</v>
      </c>
      <c r="L29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""$1$2"")"),"pre__other_med_fluid_intake_cc_per_kg")</f>
        <v>pre__other_med_fluid_intake_cc_per_kg</v>
      </c>
      <c r="M296" s="272"/>
      <c r="N296" s="270"/>
      <c r="O296" s="272"/>
      <c r="P296" s="270"/>
      <c r="Q296" s="270"/>
      <c r="R296" s="272"/>
      <c r="S296" s="272"/>
      <c r="T296" s="272"/>
      <c r="U296" s="272"/>
      <c r="V296" s="272"/>
      <c r="W296" s="272"/>
      <c r="X296" s="272"/>
      <c r="Y296" s="272"/>
      <c r="Z296" s="272"/>
    </row>
    <row r="297">
      <c r="A297" s="270"/>
      <c r="B297" s="268" t="s">
        <v>976</v>
      </c>
      <c r="C297" s="269" t="s">
        <v>1037</v>
      </c>
      <c r="D297" s="268" t="s">
        <v>483</v>
      </c>
      <c r="E297" s="270" t="s">
        <v>1038</v>
      </c>
      <c r="F297" s="123">
        <f t="shared" si="1"/>
        <v>0</v>
      </c>
      <c r="G297" s="269" t="s">
        <v>7538</v>
      </c>
      <c r="H297" s="45"/>
      <c r="I297" s="268" t="str">
        <f>IFERROR(__xludf.DUMMYFUNCTION("regexreplace(lower(C297), ""_"", """")"),"preothermedurineoutputccperkg")</f>
        <v>preothermedurineoutputccperkg</v>
      </c>
      <c r="J297" s="271" t="b">
        <f t="shared" si="23"/>
        <v>0</v>
      </c>
      <c r="K297" s="268" t="str">
        <f>IFERROR(__xludf.DUMMYFUNCTION("regexreplace(G297, ""_"", """")"),"beforebaselineothermedurineoutput")</f>
        <v>beforebaselineothermedurineoutput</v>
      </c>
      <c r="L29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""$1$2"")"),"pre__other_med_urine_output_cc_per_kg")</f>
        <v>pre__other_med_urine_output_cc_per_kg</v>
      </c>
      <c r="M297" s="272"/>
      <c r="N297" s="270"/>
      <c r="O297" s="272"/>
      <c r="P297" s="270"/>
      <c r="Q297" s="270"/>
      <c r="R297" s="272"/>
      <c r="S297" s="272"/>
      <c r="T297" s="272"/>
      <c r="U297" s="272"/>
      <c r="V297" s="272"/>
      <c r="W297" s="272"/>
      <c r="X297" s="272"/>
      <c r="Y297" s="272"/>
      <c r="Z297" s="272"/>
    </row>
    <row r="298">
      <c r="A298" s="33"/>
      <c r="B298" s="33"/>
      <c r="C298" s="12"/>
      <c r="D298" s="12"/>
      <c r="E298" s="15"/>
      <c r="F298" s="123">
        <f t="shared" si="1"/>
        <v>0</v>
      </c>
      <c r="G298" s="12"/>
      <c r="H298" s="12"/>
      <c r="I298" s="12"/>
      <c r="J298" s="12"/>
      <c r="K298" s="12"/>
      <c r="L298" s="12"/>
      <c r="N298" s="15"/>
      <c r="P298" s="15"/>
      <c r="Q298" s="15"/>
      <c r="R298" s="88"/>
      <c r="S298" s="88"/>
    </row>
    <row r="299">
      <c r="A299" s="189" t="s">
        <v>10</v>
      </c>
      <c r="B299" s="268" t="s">
        <v>1040</v>
      </c>
      <c r="C299" s="269" t="s">
        <v>1041</v>
      </c>
      <c r="D299" s="268" t="s">
        <v>40</v>
      </c>
      <c r="E299" s="270" t="s">
        <v>1042</v>
      </c>
      <c r="F299" s="123">
        <f t="shared" si="1"/>
        <v>0</v>
      </c>
      <c r="G299" s="269" t="s">
        <v>7539</v>
      </c>
      <c r="H299" s="12" t="s">
        <v>773</v>
      </c>
      <c r="I299" s="268" t="str">
        <f>IFERROR(__xludf.DUMMYFUNCTION("regexreplace(lower(C299), ""_"", """")"),"preheadsonogram")</f>
        <v>preheadsonogram</v>
      </c>
      <c r="J299" s="271" t="b">
        <f t="shared" ref="J299:J334" si="24">exact(I299, K299)</f>
        <v>0</v>
      </c>
      <c r="K299" s="268" t="str">
        <f>IFERROR(__xludf.DUMMYFUNCTION("regexreplace(G299, ""_"", """")"),"beforebaselineheadsonogram")</f>
        <v>beforebaselineheadsonogram</v>
      </c>
      <c r="L29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299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""$1$2"")"),"pre__head_sonogram")</f>
        <v>pre__head_sonogram</v>
      </c>
      <c r="M299" s="272"/>
      <c r="N299" s="248" t="s">
        <v>7540</v>
      </c>
      <c r="O299" s="272"/>
      <c r="P299" s="270"/>
      <c r="Q299" s="270"/>
      <c r="R299" s="272"/>
      <c r="S299" s="272"/>
      <c r="T299" s="272"/>
      <c r="U299" s="272"/>
      <c r="V299" s="272"/>
      <c r="W299" s="272"/>
      <c r="X299" s="272"/>
      <c r="Y299" s="272"/>
      <c r="Z299" s="272"/>
    </row>
    <row r="300">
      <c r="A300" s="270"/>
      <c r="B300" s="268" t="s">
        <v>1040</v>
      </c>
      <c r="C300" s="269" t="s">
        <v>1044</v>
      </c>
      <c r="D300" s="268" t="s">
        <v>26</v>
      </c>
      <c r="E300" s="270" t="s">
        <v>1045</v>
      </c>
      <c r="F300" s="123">
        <f t="shared" si="1"/>
        <v>0</v>
      </c>
      <c r="G300" s="269" t="s">
        <v>7541</v>
      </c>
      <c r="H300" s="45"/>
      <c r="I300" s="268" t="str">
        <f>IFERROR(__xludf.DUMMYFUNCTION("regexreplace(lower(C300), ""_"", """")"),"preheadsonogramdate")</f>
        <v>preheadsonogramdate</v>
      </c>
      <c r="J300" s="271" t="b">
        <f t="shared" si="24"/>
        <v>0</v>
      </c>
      <c r="K300" s="268" t="str">
        <f>IFERROR(__xludf.DUMMYFUNCTION("regexreplace(G300, ""_"", """")"),"beforebaselineheadsonogramdate")</f>
        <v>beforebaselineheadsonogramdate</v>
      </c>
      <c r="L30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""$1$2"")"),"pre__head_sonogram_date")</f>
        <v>pre__head_sonogram_date</v>
      </c>
      <c r="M300" s="272"/>
      <c r="N300" s="276" t="s">
        <v>7542</v>
      </c>
      <c r="O300" s="272"/>
      <c r="P300" s="270"/>
      <c r="Q300" s="270"/>
      <c r="R300" s="272"/>
      <c r="S300" s="272"/>
      <c r="T300" s="272"/>
      <c r="U300" s="272"/>
      <c r="V300" s="272"/>
      <c r="W300" s="272"/>
      <c r="X300" s="272"/>
      <c r="Y300" s="272"/>
      <c r="Z300" s="272"/>
    </row>
    <row r="301">
      <c r="A301" s="270"/>
      <c r="B301" s="268" t="s">
        <v>1040</v>
      </c>
      <c r="C301" s="269" t="s">
        <v>1047</v>
      </c>
      <c r="D301" s="268" t="s">
        <v>145</v>
      </c>
      <c r="E301" s="270" t="s">
        <v>1048</v>
      </c>
      <c r="F301" s="123">
        <f t="shared" si="1"/>
        <v>0</v>
      </c>
      <c r="G301" s="269" t="s">
        <v>7543</v>
      </c>
      <c r="H301" s="45"/>
      <c r="I301" s="268" t="str">
        <f>IFERROR(__xludf.DUMMYFUNCTION("regexreplace(lower(C301), ""_"", """")"),"preheadsonogramtime")</f>
        <v>preheadsonogramtime</v>
      </c>
      <c r="J301" s="271" t="b">
        <f t="shared" si="24"/>
        <v>0</v>
      </c>
      <c r="K301" s="268" t="str">
        <f>IFERROR(__xludf.DUMMYFUNCTION("regexreplace(G301, ""_"", """")"),"beforebaselineheadsonogramtime")</f>
        <v>beforebaselineheadsonogramtime</v>
      </c>
      <c r="L30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""$1$2"")"),"pre__head_sonogram_time")</f>
        <v>pre__head_sonogram_time</v>
      </c>
      <c r="M301" s="272"/>
      <c r="N301" s="270"/>
      <c r="O301" s="272"/>
      <c r="P301" s="270"/>
      <c r="Q301" s="270"/>
      <c r="R301" s="272"/>
      <c r="S301" s="272"/>
      <c r="T301" s="272"/>
      <c r="U301" s="272"/>
      <c r="V301" s="272"/>
      <c r="W301" s="272"/>
      <c r="X301" s="272"/>
      <c r="Y301" s="272"/>
      <c r="Z301" s="272"/>
    </row>
    <row r="302">
      <c r="A302" s="270"/>
      <c r="B302" s="268" t="s">
        <v>1040</v>
      </c>
      <c r="C302" s="269" t="s">
        <v>1050</v>
      </c>
      <c r="D302" s="268" t="s">
        <v>1051</v>
      </c>
      <c r="E302" s="270" t="s">
        <v>1052</v>
      </c>
      <c r="F302" s="123">
        <f t="shared" si="1"/>
        <v>0</v>
      </c>
      <c r="G302" s="269" t="s">
        <v>7544</v>
      </c>
      <c r="H302" s="45"/>
      <c r="I302" s="268" t="str">
        <f>IFERROR(__xludf.DUMMYFUNCTION("regexreplace(lower(C302), ""_"", """")"),"preheadsonogramresult1")</f>
        <v>preheadsonogramresult1</v>
      </c>
      <c r="J302" s="271" t="b">
        <f t="shared" si="24"/>
        <v>0</v>
      </c>
      <c r="K302" s="268" t="str">
        <f>IFERROR(__xludf.DUMMYFUNCTION("regexreplace(G302, ""_"", """")"),"beforebaselineheadsonogramresulta")</f>
        <v>beforebaselineheadsonogramresulta</v>
      </c>
      <c r="L30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""$1$2"")"),"pre__head_sonogram_result1")</f>
        <v>pre__head_sonogram_result1</v>
      </c>
      <c r="M302" s="272"/>
      <c r="N302" s="276" t="s">
        <v>7545</v>
      </c>
      <c r="O302" s="272"/>
      <c r="P302" s="270"/>
      <c r="Q302" s="270"/>
      <c r="R302" s="272"/>
      <c r="S302" s="272"/>
      <c r="T302" s="272"/>
      <c r="U302" s="272"/>
      <c r="V302" s="272"/>
      <c r="W302" s="272"/>
      <c r="X302" s="272"/>
      <c r="Y302" s="272"/>
      <c r="Z302" s="272"/>
    </row>
    <row r="303">
      <c r="A303" s="270"/>
      <c r="B303" s="268" t="s">
        <v>1040</v>
      </c>
      <c r="C303" s="269" t="s">
        <v>1054</v>
      </c>
      <c r="D303" s="268" t="s">
        <v>1051</v>
      </c>
      <c r="E303" s="270" t="s">
        <v>1055</v>
      </c>
      <c r="F303" s="123">
        <f t="shared" si="1"/>
        <v>0</v>
      </c>
      <c r="G303" s="269" t="s">
        <v>7546</v>
      </c>
      <c r="H303" s="45"/>
      <c r="I303" s="268" t="str">
        <f>IFERROR(__xludf.DUMMYFUNCTION("regexreplace(lower(C303), ""_"", """")"),"preheadsonogramresult2")</f>
        <v>preheadsonogramresult2</v>
      </c>
      <c r="J303" s="271" t="b">
        <f t="shared" si="24"/>
        <v>0</v>
      </c>
      <c r="K303" s="268" t="str">
        <f>IFERROR(__xludf.DUMMYFUNCTION("regexreplace(G303, ""_"", """")"),"beforebaselineheadsonogramresultb")</f>
        <v>beforebaselineheadsonogramresultb</v>
      </c>
      <c r="L30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""$1$2"")"),"pre__head_sonogram_result2")</f>
        <v>pre__head_sonogram_result2</v>
      </c>
      <c r="M303" s="272"/>
      <c r="N303" s="276" t="s">
        <v>7545</v>
      </c>
      <c r="O303" s="272"/>
      <c r="P303" s="270"/>
      <c r="Q303" s="270"/>
      <c r="R303" s="272"/>
      <c r="S303" s="272"/>
      <c r="T303" s="272"/>
      <c r="U303" s="272"/>
      <c r="V303" s="272"/>
      <c r="W303" s="272"/>
      <c r="X303" s="272"/>
      <c r="Y303" s="272"/>
      <c r="Z303" s="272"/>
    </row>
    <row r="304">
      <c r="A304" s="270"/>
      <c r="B304" s="268" t="s">
        <v>1040</v>
      </c>
      <c r="C304" s="269" t="s">
        <v>1057</v>
      </c>
      <c r="D304" s="268" t="s">
        <v>1051</v>
      </c>
      <c r="E304" s="270" t="s">
        <v>1058</v>
      </c>
      <c r="F304" s="123">
        <f t="shared" si="1"/>
        <v>0</v>
      </c>
      <c r="G304" s="269" t="s">
        <v>7547</v>
      </c>
      <c r="H304" s="45"/>
      <c r="I304" s="268" t="str">
        <f>IFERROR(__xludf.DUMMYFUNCTION("regexreplace(lower(C304), ""_"", """")"),"preheadsonogramresult3")</f>
        <v>preheadsonogramresult3</v>
      </c>
      <c r="J304" s="271" t="b">
        <f t="shared" si="24"/>
        <v>0</v>
      </c>
      <c r="K304" s="268" t="str">
        <f>IFERROR(__xludf.DUMMYFUNCTION("regexreplace(G304, ""_"", """")"),"beforebaselineheadsonogramresultc")</f>
        <v>beforebaselineheadsonogramresultc</v>
      </c>
      <c r="L30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""$1$2"")"),"pre__head_sonogram_result3")</f>
        <v>pre__head_sonogram_result3</v>
      </c>
      <c r="M304" s="272"/>
      <c r="N304" s="276" t="s">
        <v>7545</v>
      </c>
      <c r="O304" s="272"/>
      <c r="P304" s="270"/>
      <c r="Q304" s="270"/>
      <c r="R304" s="272"/>
      <c r="S304" s="272"/>
      <c r="T304" s="272"/>
      <c r="U304" s="272"/>
      <c r="V304" s="272"/>
      <c r="W304" s="272"/>
      <c r="X304" s="272"/>
      <c r="Y304" s="272"/>
      <c r="Z304" s="272"/>
    </row>
    <row r="305">
      <c r="A305" s="270"/>
      <c r="B305" s="268" t="s">
        <v>1040</v>
      </c>
      <c r="C305" s="269" t="s">
        <v>1060</v>
      </c>
      <c r="D305" s="268" t="s">
        <v>1051</v>
      </c>
      <c r="E305" s="270" t="s">
        <v>1061</v>
      </c>
      <c r="F305" s="123">
        <f t="shared" si="1"/>
        <v>0</v>
      </c>
      <c r="G305" s="269" t="s">
        <v>7548</v>
      </c>
      <c r="H305" s="45"/>
      <c r="I305" s="268" t="str">
        <f>IFERROR(__xludf.DUMMYFUNCTION("regexreplace(lower(C305), ""_"", """")"),"preheadsonogramresult4")</f>
        <v>preheadsonogramresult4</v>
      </c>
      <c r="J305" s="271" t="b">
        <f t="shared" si="24"/>
        <v>0</v>
      </c>
      <c r="K305" s="268" t="str">
        <f>IFERROR(__xludf.DUMMYFUNCTION("regexreplace(G305, ""_"", """")"),"beforebaselineheadsonogramresultd")</f>
        <v>beforebaselineheadsonogramresultd</v>
      </c>
      <c r="L30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""$1$2"")"),"pre__head_sonogram_result4")</f>
        <v>pre__head_sonogram_result4</v>
      </c>
      <c r="M305" s="272"/>
      <c r="N305" s="276" t="s">
        <v>7545</v>
      </c>
      <c r="O305" s="272"/>
      <c r="P305" s="270"/>
      <c r="Q305" s="270"/>
      <c r="R305" s="272"/>
      <c r="S305" s="272"/>
      <c r="T305" s="272"/>
      <c r="U305" s="272"/>
      <c r="V305" s="272"/>
      <c r="W305" s="272"/>
      <c r="X305" s="272"/>
      <c r="Y305" s="272"/>
      <c r="Z305" s="272"/>
    </row>
    <row r="306">
      <c r="A306" s="270"/>
      <c r="B306" s="268" t="s">
        <v>1040</v>
      </c>
      <c r="C306" s="269" t="s">
        <v>1063</v>
      </c>
      <c r="D306" s="268" t="s">
        <v>1051</v>
      </c>
      <c r="E306" s="270" t="s">
        <v>1064</v>
      </c>
      <c r="F306" s="123">
        <f t="shared" si="1"/>
        <v>0</v>
      </c>
      <c r="G306" s="269" t="s">
        <v>7549</v>
      </c>
      <c r="H306" s="45"/>
      <c r="I306" s="268" t="str">
        <f>IFERROR(__xludf.DUMMYFUNCTION("regexreplace(lower(C306), ""_"", """")"),"preheadsonogramresult5")</f>
        <v>preheadsonogramresult5</v>
      </c>
      <c r="J306" s="271" t="b">
        <f t="shared" si="24"/>
        <v>0</v>
      </c>
      <c r="K306" s="268" t="str">
        <f>IFERROR(__xludf.DUMMYFUNCTION("regexreplace(G306, ""_"", """")"),"beforebaselineheadsonogramresulte")</f>
        <v>beforebaselineheadsonogramresulte</v>
      </c>
      <c r="L30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""$1$2"")"),"pre__head_sonogram_result5")</f>
        <v>pre__head_sonogram_result5</v>
      </c>
      <c r="M306" s="272"/>
      <c r="N306" s="276" t="s">
        <v>7545</v>
      </c>
      <c r="O306" s="272"/>
      <c r="P306" s="270"/>
      <c r="Q306" s="270"/>
      <c r="R306" s="272"/>
      <c r="S306" s="272"/>
      <c r="T306" s="272"/>
      <c r="U306" s="272"/>
      <c r="V306" s="272"/>
      <c r="W306" s="272"/>
      <c r="X306" s="272"/>
      <c r="Y306" s="272"/>
      <c r="Z306" s="272"/>
    </row>
    <row r="307">
      <c r="A307" s="270"/>
      <c r="B307" s="268" t="s">
        <v>1040</v>
      </c>
      <c r="C307" s="269" t="s">
        <v>1066</v>
      </c>
      <c r="D307" s="268" t="s">
        <v>1051</v>
      </c>
      <c r="E307" s="270" t="s">
        <v>1067</v>
      </c>
      <c r="F307" s="123">
        <f t="shared" si="1"/>
        <v>0</v>
      </c>
      <c r="G307" s="269" t="s">
        <v>7550</v>
      </c>
      <c r="H307" s="45"/>
      <c r="I307" s="268" t="str">
        <f>IFERROR(__xludf.DUMMYFUNCTION("regexreplace(lower(C307), ""_"", """")"),"preheadsonogramresult6")</f>
        <v>preheadsonogramresult6</v>
      </c>
      <c r="J307" s="271" t="b">
        <f t="shared" si="24"/>
        <v>0</v>
      </c>
      <c r="K307" s="268" t="str">
        <f>IFERROR(__xludf.DUMMYFUNCTION("regexreplace(G307, ""_"", """")"),"beforebaselineheadsonogramresultf")</f>
        <v>beforebaselineheadsonogramresultf</v>
      </c>
      <c r="L30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""$1$2"")"),"pre__head_sonogram_result6")</f>
        <v>pre__head_sonogram_result6</v>
      </c>
      <c r="M307" s="272"/>
      <c r="N307" s="276" t="s">
        <v>7545</v>
      </c>
      <c r="O307" s="272"/>
      <c r="P307" s="270"/>
      <c r="Q307" s="270"/>
      <c r="R307" s="272"/>
      <c r="S307" s="272"/>
      <c r="T307" s="272"/>
      <c r="U307" s="272"/>
      <c r="V307" s="272"/>
      <c r="W307" s="272"/>
      <c r="X307" s="272"/>
      <c r="Y307" s="272"/>
      <c r="Z307" s="272"/>
    </row>
    <row r="308">
      <c r="A308" s="270"/>
      <c r="B308" s="268" t="s">
        <v>1040</v>
      </c>
      <c r="C308" s="269" t="s">
        <v>1069</v>
      </c>
      <c r="D308" s="268" t="s">
        <v>1051</v>
      </c>
      <c r="E308" s="270" t="s">
        <v>1070</v>
      </c>
      <c r="F308" s="123">
        <f t="shared" si="1"/>
        <v>0</v>
      </c>
      <c r="G308" s="269" t="s">
        <v>7551</v>
      </c>
      <c r="H308" s="45"/>
      <c r="I308" s="268" t="str">
        <f>IFERROR(__xludf.DUMMYFUNCTION("regexreplace(lower(C308), ""_"", """")"),"preheadsonogramresult7")</f>
        <v>preheadsonogramresult7</v>
      </c>
      <c r="J308" s="271" t="b">
        <f t="shared" si="24"/>
        <v>0</v>
      </c>
      <c r="K308" s="268" t="str">
        <f>IFERROR(__xludf.DUMMYFUNCTION("regexreplace(G308, ""_"", """")"),"beforebaselineheadsonogramresultg")</f>
        <v>beforebaselineheadsonogramresultg</v>
      </c>
      <c r="L30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""$1$2"")"),"pre__head_sonogram_result7")</f>
        <v>pre__head_sonogram_result7</v>
      </c>
      <c r="M308" s="272"/>
      <c r="N308" s="276" t="s">
        <v>7545</v>
      </c>
      <c r="O308" s="272"/>
      <c r="P308" s="270"/>
      <c r="Q308" s="270"/>
      <c r="R308" s="272"/>
      <c r="S308" s="272"/>
      <c r="T308" s="272"/>
      <c r="U308" s="272"/>
      <c r="V308" s="272"/>
      <c r="W308" s="272"/>
      <c r="X308" s="272"/>
      <c r="Y308" s="272"/>
      <c r="Z308" s="272"/>
    </row>
    <row r="309">
      <c r="A309" s="270"/>
      <c r="B309" s="268" t="s">
        <v>1040</v>
      </c>
      <c r="C309" s="269" t="s">
        <v>1072</v>
      </c>
      <c r="D309" s="268" t="s">
        <v>1051</v>
      </c>
      <c r="E309" s="270" t="s">
        <v>1073</v>
      </c>
      <c r="F309" s="123">
        <f t="shared" si="1"/>
        <v>0</v>
      </c>
      <c r="G309" s="269" t="s">
        <v>7552</v>
      </c>
      <c r="H309" s="45"/>
      <c r="I309" s="268" t="str">
        <f>IFERROR(__xludf.DUMMYFUNCTION("regexreplace(lower(C309), ""_"", """")"),"preheadsonogramresult8")</f>
        <v>preheadsonogramresult8</v>
      </c>
      <c r="J309" s="271" t="b">
        <f t="shared" si="24"/>
        <v>0</v>
      </c>
      <c r="K309" s="268" t="str">
        <f>IFERROR(__xludf.DUMMYFUNCTION("regexreplace(G309, ""_"", """")"),"beforebaselineheadsonogramresulth")</f>
        <v>beforebaselineheadsonogramresulth</v>
      </c>
      <c r="L30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""$1$2"")"),"pre__head_sonogram_result8")</f>
        <v>pre__head_sonogram_result8</v>
      </c>
      <c r="M309" s="272"/>
      <c r="N309" s="276" t="s">
        <v>7545</v>
      </c>
      <c r="O309" s="272"/>
      <c r="P309" s="270"/>
      <c r="Q309" s="270"/>
      <c r="R309" s="272"/>
      <c r="S309" s="272"/>
      <c r="T309" s="272"/>
      <c r="U309" s="272"/>
      <c r="V309" s="272"/>
      <c r="W309" s="272"/>
      <c r="X309" s="272"/>
      <c r="Y309" s="272"/>
      <c r="Z309" s="272"/>
    </row>
    <row r="310">
      <c r="A310" s="270"/>
      <c r="B310" s="268" t="s">
        <v>1040</v>
      </c>
      <c r="C310" s="269" t="s">
        <v>1075</v>
      </c>
      <c r="D310" s="268" t="s">
        <v>16</v>
      </c>
      <c r="E310" s="270" t="s">
        <v>1076</v>
      </c>
      <c r="F310" s="123">
        <f t="shared" si="1"/>
        <v>0</v>
      </c>
      <c r="G310" s="269" t="s">
        <v>7553</v>
      </c>
      <c r="H310" s="45"/>
      <c r="I310" s="268" t="str">
        <f>IFERROR(__xludf.DUMMYFUNCTION("regexreplace(lower(C310), ""_"", """")"),"preheadsonogramresulttext")</f>
        <v>preheadsonogramresulttext</v>
      </c>
      <c r="J310" s="271" t="b">
        <f t="shared" si="24"/>
        <v>0</v>
      </c>
      <c r="K310" s="268" t="str">
        <f>IFERROR(__xludf.DUMMYFUNCTION("regexreplace(G310, ""_"", """")"),"beforebaselineheadsonogramresulttext")</f>
        <v>beforebaselineheadsonogramresulttext</v>
      </c>
      <c r="L31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""$1$2"")"),"pre__head_sonogram_result_text")</f>
        <v>pre__head_sonogram_result_text</v>
      </c>
      <c r="M310" s="272"/>
      <c r="N310" s="270"/>
      <c r="O310" s="272"/>
      <c r="P310" s="270"/>
      <c r="Q310" s="270"/>
      <c r="R310" s="272"/>
      <c r="S310" s="272"/>
      <c r="T310" s="272"/>
      <c r="U310" s="272"/>
      <c r="V310" s="272"/>
      <c r="W310" s="272"/>
      <c r="X310" s="272"/>
      <c r="Y310" s="272"/>
      <c r="Z310" s="272"/>
    </row>
    <row r="311">
      <c r="A311" s="270"/>
      <c r="B311" s="268" t="s">
        <v>1040</v>
      </c>
      <c r="C311" s="269" t="s">
        <v>1078</v>
      </c>
      <c r="D311" s="268" t="s">
        <v>40</v>
      </c>
      <c r="E311" s="270" t="s">
        <v>1079</v>
      </c>
      <c r="F311" s="123">
        <f t="shared" si="1"/>
        <v>0</v>
      </c>
      <c r="G311" s="269" t="s">
        <v>7554</v>
      </c>
      <c r="H311" s="45"/>
      <c r="I311" s="268" t="str">
        <f>IFERROR(__xludf.DUMMYFUNCTION("regexreplace(lower(C311), ""_"", """")"),"preheadct")</f>
        <v>preheadct</v>
      </c>
      <c r="J311" s="271" t="b">
        <f t="shared" si="24"/>
        <v>0</v>
      </c>
      <c r="K311" s="268" t="str">
        <f>IFERROR(__xludf.DUMMYFUNCTION("regexreplace(G311, ""_"", """")"),"beforebaselineheadct")</f>
        <v>beforebaselineheadct</v>
      </c>
      <c r="L31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""$1$2"")"),"pre__head_ct")</f>
        <v>pre__head_ct</v>
      </c>
      <c r="M311" s="272"/>
      <c r="N311" s="248" t="s">
        <v>7540</v>
      </c>
      <c r="O311" s="272"/>
      <c r="P311" s="270"/>
      <c r="Q311" s="270"/>
      <c r="R311" s="272"/>
      <c r="S311" s="272"/>
      <c r="T311" s="272"/>
      <c r="U311" s="272"/>
      <c r="V311" s="272"/>
      <c r="W311" s="272"/>
      <c r="X311" s="272"/>
      <c r="Y311" s="272"/>
      <c r="Z311" s="272"/>
    </row>
    <row r="312">
      <c r="A312" s="270"/>
      <c r="B312" s="268" t="s">
        <v>1040</v>
      </c>
      <c r="C312" s="269" t="s">
        <v>1081</v>
      </c>
      <c r="D312" s="268" t="s">
        <v>26</v>
      </c>
      <c r="E312" s="270" t="s">
        <v>1082</v>
      </c>
      <c r="F312" s="123">
        <f t="shared" si="1"/>
        <v>0</v>
      </c>
      <c r="G312" s="269" t="s">
        <v>7555</v>
      </c>
      <c r="H312" s="45"/>
      <c r="I312" s="268" t="str">
        <f>IFERROR(__xludf.DUMMYFUNCTION("regexreplace(lower(C312), ""_"", """")"),"preheadctdate")</f>
        <v>preheadctdate</v>
      </c>
      <c r="J312" s="271" t="b">
        <f t="shared" si="24"/>
        <v>0</v>
      </c>
      <c r="K312" s="268" t="str">
        <f>IFERROR(__xludf.DUMMYFUNCTION("regexreplace(G312, ""_"", """")"),"beforebaselineheadctdate")</f>
        <v>beforebaselineheadctdate</v>
      </c>
      <c r="L31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""$1$2"")"),"pre__head_ct_date")</f>
        <v>pre__head_ct_date</v>
      </c>
      <c r="M312" s="272"/>
      <c r="N312" s="276" t="s">
        <v>7542</v>
      </c>
      <c r="O312" s="272"/>
      <c r="P312" s="270"/>
      <c r="Q312" s="270"/>
      <c r="R312" s="272"/>
      <c r="S312" s="272"/>
      <c r="T312" s="272"/>
      <c r="U312" s="272"/>
      <c r="V312" s="272"/>
      <c r="W312" s="272"/>
      <c r="X312" s="272"/>
      <c r="Y312" s="272"/>
      <c r="Z312" s="272"/>
    </row>
    <row r="313">
      <c r="A313" s="270"/>
      <c r="B313" s="268" t="s">
        <v>1040</v>
      </c>
      <c r="C313" s="269" t="s">
        <v>1084</v>
      </c>
      <c r="D313" s="268" t="s">
        <v>145</v>
      </c>
      <c r="E313" s="270" t="s">
        <v>1085</v>
      </c>
      <c r="F313" s="123">
        <f t="shared" si="1"/>
        <v>0</v>
      </c>
      <c r="G313" s="269" t="s">
        <v>7556</v>
      </c>
      <c r="H313" s="45"/>
      <c r="I313" s="268" t="str">
        <f>IFERROR(__xludf.DUMMYFUNCTION("regexreplace(lower(C313), ""_"", """")"),"preheadcttime")</f>
        <v>preheadcttime</v>
      </c>
      <c r="J313" s="271" t="b">
        <f t="shared" si="24"/>
        <v>0</v>
      </c>
      <c r="K313" s="268" t="str">
        <f>IFERROR(__xludf.DUMMYFUNCTION("regexreplace(G313, ""_"", """")"),"beforebaselineheadcttime")</f>
        <v>beforebaselineheadcttime</v>
      </c>
      <c r="L31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""$1$2"")"),"pre__head_ct_time")</f>
        <v>pre__head_ct_time</v>
      </c>
      <c r="M313" s="272"/>
      <c r="N313" s="270"/>
      <c r="O313" s="272"/>
      <c r="P313" s="270"/>
      <c r="Q313" s="270"/>
      <c r="R313" s="272"/>
      <c r="S313" s="272"/>
      <c r="T313" s="272"/>
      <c r="U313" s="272"/>
      <c r="V313" s="272"/>
      <c r="W313" s="272"/>
      <c r="X313" s="272"/>
      <c r="Y313" s="272"/>
      <c r="Z313" s="272"/>
    </row>
    <row r="314">
      <c r="A314" s="270"/>
      <c r="B314" s="268" t="s">
        <v>1040</v>
      </c>
      <c r="C314" s="269" t="s">
        <v>1087</v>
      </c>
      <c r="D314" s="268" t="s">
        <v>1051</v>
      </c>
      <c r="E314" s="270" t="s">
        <v>1088</v>
      </c>
      <c r="F314" s="123">
        <f t="shared" si="1"/>
        <v>0</v>
      </c>
      <c r="G314" s="269" t="s">
        <v>7557</v>
      </c>
      <c r="H314" s="45"/>
      <c r="I314" s="268" t="str">
        <f>IFERROR(__xludf.DUMMYFUNCTION("regexreplace(lower(C314), ""_"", """")"),"preheadctresult1")</f>
        <v>preheadctresult1</v>
      </c>
      <c r="J314" s="271" t="b">
        <f t="shared" si="24"/>
        <v>0</v>
      </c>
      <c r="K314" s="268" t="str">
        <f>IFERROR(__xludf.DUMMYFUNCTION("regexreplace(G314, ""_"", """")"),"beforebaselineheadctresulta")</f>
        <v>beforebaselineheadctresulta</v>
      </c>
      <c r="L31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""$1$2"")"),"pre__head_ct_result1")</f>
        <v>pre__head_ct_result1</v>
      </c>
      <c r="M314" s="272"/>
      <c r="N314" s="276" t="s">
        <v>7545</v>
      </c>
      <c r="O314" s="272"/>
      <c r="P314" s="270"/>
      <c r="Q314" s="270"/>
      <c r="R314" s="272"/>
      <c r="S314" s="272"/>
      <c r="T314" s="272"/>
      <c r="U314" s="272"/>
      <c r="V314" s="272"/>
      <c r="W314" s="272"/>
      <c r="X314" s="272"/>
      <c r="Y314" s="272"/>
      <c r="Z314" s="272"/>
    </row>
    <row r="315">
      <c r="A315" s="270"/>
      <c r="B315" s="268" t="s">
        <v>1040</v>
      </c>
      <c r="C315" s="269" t="s">
        <v>1090</v>
      </c>
      <c r="D315" s="268" t="s">
        <v>1051</v>
      </c>
      <c r="E315" s="270" t="s">
        <v>1091</v>
      </c>
      <c r="F315" s="123">
        <f t="shared" si="1"/>
        <v>0</v>
      </c>
      <c r="G315" s="269" t="s">
        <v>7558</v>
      </c>
      <c r="H315" s="45"/>
      <c r="I315" s="268" t="str">
        <f>IFERROR(__xludf.DUMMYFUNCTION("regexreplace(lower(C315), ""_"", """")"),"preheadctresult2")</f>
        <v>preheadctresult2</v>
      </c>
      <c r="J315" s="271" t="b">
        <f t="shared" si="24"/>
        <v>0</v>
      </c>
      <c r="K315" s="268" t="str">
        <f>IFERROR(__xludf.DUMMYFUNCTION("regexreplace(G315, ""_"", """")"),"beforebaselineheadctresultb")</f>
        <v>beforebaselineheadctresultb</v>
      </c>
      <c r="L31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""$1$2"")"),"pre__head_ct_result2")</f>
        <v>pre__head_ct_result2</v>
      </c>
      <c r="M315" s="272"/>
      <c r="N315" s="276" t="s">
        <v>7545</v>
      </c>
      <c r="O315" s="272"/>
      <c r="P315" s="270"/>
      <c r="Q315" s="270"/>
      <c r="R315" s="272"/>
      <c r="S315" s="272"/>
      <c r="T315" s="272"/>
      <c r="U315" s="272"/>
      <c r="V315" s="272"/>
      <c r="W315" s="272"/>
      <c r="X315" s="272"/>
      <c r="Y315" s="272"/>
      <c r="Z315" s="272"/>
    </row>
    <row r="316">
      <c r="A316" s="270"/>
      <c r="B316" s="268" t="s">
        <v>1040</v>
      </c>
      <c r="C316" s="269" t="s">
        <v>1093</v>
      </c>
      <c r="D316" s="268" t="s">
        <v>1051</v>
      </c>
      <c r="E316" s="270" t="s">
        <v>1094</v>
      </c>
      <c r="F316" s="123">
        <f t="shared" si="1"/>
        <v>0</v>
      </c>
      <c r="G316" s="269" t="s">
        <v>7559</v>
      </c>
      <c r="H316" s="45"/>
      <c r="I316" s="268" t="str">
        <f>IFERROR(__xludf.DUMMYFUNCTION("regexreplace(lower(C316), ""_"", """")"),"preheadctresult3")</f>
        <v>preheadctresult3</v>
      </c>
      <c r="J316" s="271" t="b">
        <f t="shared" si="24"/>
        <v>0</v>
      </c>
      <c r="K316" s="268" t="str">
        <f>IFERROR(__xludf.DUMMYFUNCTION("regexreplace(G316, ""_"", """")"),"beforebaselineheadctresultc")</f>
        <v>beforebaselineheadctresultc</v>
      </c>
      <c r="L31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""$1$2"")"),"pre__head_ct_result3")</f>
        <v>pre__head_ct_result3</v>
      </c>
      <c r="M316" s="272"/>
      <c r="N316" s="276" t="s">
        <v>7545</v>
      </c>
      <c r="O316" s="272"/>
      <c r="P316" s="270"/>
      <c r="Q316" s="270"/>
      <c r="R316" s="272"/>
      <c r="S316" s="272"/>
      <c r="T316" s="272"/>
      <c r="U316" s="272"/>
      <c r="V316" s="272"/>
      <c r="W316" s="272"/>
      <c r="X316" s="272"/>
      <c r="Y316" s="272"/>
      <c r="Z316" s="272"/>
    </row>
    <row r="317">
      <c r="A317" s="270"/>
      <c r="B317" s="268" t="s">
        <v>1040</v>
      </c>
      <c r="C317" s="269" t="s">
        <v>1096</v>
      </c>
      <c r="D317" s="268" t="s">
        <v>1051</v>
      </c>
      <c r="E317" s="270" t="s">
        <v>1097</v>
      </c>
      <c r="F317" s="123">
        <f t="shared" si="1"/>
        <v>0</v>
      </c>
      <c r="G317" s="269" t="s">
        <v>7560</v>
      </c>
      <c r="H317" s="45"/>
      <c r="I317" s="268" t="str">
        <f>IFERROR(__xludf.DUMMYFUNCTION("regexreplace(lower(C317), ""_"", """")"),"preheadctresult4")</f>
        <v>preheadctresult4</v>
      </c>
      <c r="J317" s="271" t="b">
        <f t="shared" si="24"/>
        <v>0</v>
      </c>
      <c r="K317" s="268" t="str">
        <f>IFERROR(__xludf.DUMMYFUNCTION("regexreplace(G317, ""_"", """")"),"beforebaselineheadctresultd")</f>
        <v>beforebaselineheadctresultd</v>
      </c>
      <c r="L31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""$1$2"")"),"pre__head_ct_result4")</f>
        <v>pre__head_ct_result4</v>
      </c>
      <c r="M317" s="272"/>
      <c r="N317" s="276" t="s">
        <v>7545</v>
      </c>
      <c r="O317" s="272"/>
      <c r="P317" s="270"/>
      <c r="Q317" s="270"/>
      <c r="R317" s="272"/>
      <c r="S317" s="272"/>
      <c r="T317" s="272"/>
      <c r="U317" s="272"/>
      <c r="V317" s="272"/>
      <c r="W317" s="272"/>
      <c r="X317" s="272"/>
      <c r="Y317" s="272"/>
      <c r="Z317" s="272"/>
    </row>
    <row r="318">
      <c r="A318" s="270"/>
      <c r="B318" s="268" t="s">
        <v>1040</v>
      </c>
      <c r="C318" s="269" t="s">
        <v>1099</v>
      </c>
      <c r="D318" s="268" t="s">
        <v>1051</v>
      </c>
      <c r="E318" s="270" t="s">
        <v>1100</v>
      </c>
      <c r="F318" s="123">
        <f t="shared" si="1"/>
        <v>0</v>
      </c>
      <c r="G318" s="269" t="s">
        <v>7561</v>
      </c>
      <c r="H318" s="45"/>
      <c r="I318" s="268" t="str">
        <f>IFERROR(__xludf.DUMMYFUNCTION("regexreplace(lower(C318), ""_"", """")"),"preheadctresult5")</f>
        <v>preheadctresult5</v>
      </c>
      <c r="J318" s="271" t="b">
        <f t="shared" si="24"/>
        <v>0</v>
      </c>
      <c r="K318" s="268" t="str">
        <f>IFERROR(__xludf.DUMMYFUNCTION("regexreplace(G318, ""_"", """")"),"beforebaselineheadctresulte")</f>
        <v>beforebaselineheadctresulte</v>
      </c>
      <c r="L31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""$1$2"")"),"pre__head_ct_result5")</f>
        <v>pre__head_ct_result5</v>
      </c>
      <c r="M318" s="272"/>
      <c r="N318" s="276" t="s">
        <v>7545</v>
      </c>
      <c r="O318" s="272"/>
      <c r="P318" s="270"/>
      <c r="Q318" s="270"/>
      <c r="R318" s="272"/>
      <c r="S318" s="272"/>
      <c r="T318" s="272"/>
      <c r="U318" s="272"/>
      <c r="V318" s="272"/>
      <c r="W318" s="272"/>
      <c r="X318" s="272"/>
      <c r="Y318" s="272"/>
      <c r="Z318" s="272"/>
    </row>
    <row r="319">
      <c r="A319" s="270"/>
      <c r="B319" s="268" t="s">
        <v>1040</v>
      </c>
      <c r="C319" s="269" t="s">
        <v>1102</v>
      </c>
      <c r="D319" s="268" t="s">
        <v>1051</v>
      </c>
      <c r="E319" s="270" t="s">
        <v>1103</v>
      </c>
      <c r="F319" s="123">
        <f t="shared" si="1"/>
        <v>0</v>
      </c>
      <c r="G319" s="269" t="s">
        <v>7562</v>
      </c>
      <c r="H319" s="45"/>
      <c r="I319" s="268" t="str">
        <f>IFERROR(__xludf.DUMMYFUNCTION("regexreplace(lower(C319), ""_"", """")"),"preheadctresult6")</f>
        <v>preheadctresult6</v>
      </c>
      <c r="J319" s="271" t="b">
        <f t="shared" si="24"/>
        <v>0</v>
      </c>
      <c r="K319" s="268" t="str">
        <f>IFERROR(__xludf.DUMMYFUNCTION("regexreplace(G319, ""_"", """")"),"beforebaselineheadctresultf")</f>
        <v>beforebaselineheadctresultf</v>
      </c>
      <c r="L31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""$1$2"")"),"pre__head_ct_result6")</f>
        <v>pre__head_ct_result6</v>
      </c>
      <c r="M319" s="272"/>
      <c r="N319" s="276" t="s">
        <v>7545</v>
      </c>
      <c r="O319" s="272"/>
      <c r="P319" s="270"/>
      <c r="Q319" s="270"/>
      <c r="R319" s="272"/>
      <c r="S319" s="272"/>
      <c r="T319" s="272"/>
      <c r="U319" s="272"/>
      <c r="V319" s="272"/>
      <c r="W319" s="272"/>
      <c r="X319" s="272"/>
      <c r="Y319" s="272"/>
      <c r="Z319" s="272"/>
    </row>
    <row r="320">
      <c r="A320" s="270"/>
      <c r="B320" s="268" t="s">
        <v>1040</v>
      </c>
      <c r="C320" s="269" t="s">
        <v>1105</v>
      </c>
      <c r="D320" s="268" t="s">
        <v>1051</v>
      </c>
      <c r="E320" s="270" t="s">
        <v>1106</v>
      </c>
      <c r="F320" s="123">
        <f t="shared" si="1"/>
        <v>0</v>
      </c>
      <c r="G320" s="269" t="s">
        <v>7563</v>
      </c>
      <c r="H320" s="45"/>
      <c r="I320" s="268" t="str">
        <f>IFERROR(__xludf.DUMMYFUNCTION("regexreplace(lower(C320), ""_"", """")"),"preheadctresult7")</f>
        <v>preheadctresult7</v>
      </c>
      <c r="J320" s="271" t="b">
        <f t="shared" si="24"/>
        <v>0</v>
      </c>
      <c r="K320" s="268" t="str">
        <f>IFERROR(__xludf.DUMMYFUNCTION("regexreplace(G320, ""_"", """")"),"beforebaselineheadctresultg")</f>
        <v>beforebaselineheadctresultg</v>
      </c>
      <c r="L32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""$1$2"")"),"pre__head_ct_result7")</f>
        <v>pre__head_ct_result7</v>
      </c>
      <c r="M320" s="272"/>
      <c r="N320" s="276" t="s">
        <v>7545</v>
      </c>
      <c r="O320" s="272"/>
      <c r="P320" s="270"/>
      <c r="Q320" s="270"/>
      <c r="R320" s="272"/>
      <c r="S320" s="272"/>
      <c r="T320" s="272"/>
      <c r="U320" s="272"/>
      <c r="V320" s="272"/>
      <c r="W320" s="272"/>
      <c r="X320" s="272"/>
      <c r="Y320" s="272"/>
      <c r="Z320" s="272"/>
    </row>
    <row r="321">
      <c r="A321" s="270"/>
      <c r="B321" s="268" t="s">
        <v>1040</v>
      </c>
      <c r="C321" s="269" t="s">
        <v>1108</v>
      </c>
      <c r="D321" s="268" t="s">
        <v>1051</v>
      </c>
      <c r="E321" s="270" t="s">
        <v>1109</v>
      </c>
      <c r="F321" s="123">
        <f t="shared" si="1"/>
        <v>0</v>
      </c>
      <c r="G321" s="269" t="s">
        <v>7564</v>
      </c>
      <c r="H321" s="45"/>
      <c r="I321" s="268" t="str">
        <f>IFERROR(__xludf.DUMMYFUNCTION("regexreplace(lower(C321), ""_"", """")"),"preheadctresult8")</f>
        <v>preheadctresult8</v>
      </c>
      <c r="J321" s="271" t="b">
        <f t="shared" si="24"/>
        <v>0</v>
      </c>
      <c r="K321" s="268" t="str">
        <f>IFERROR(__xludf.DUMMYFUNCTION("regexreplace(G321, ""_"", """")"),"beforebaselineheadctresulth")</f>
        <v>beforebaselineheadctresulth</v>
      </c>
      <c r="L32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""$1$2"")"),"pre__head_ct_result8")</f>
        <v>pre__head_ct_result8</v>
      </c>
      <c r="M321" s="272"/>
      <c r="N321" s="276" t="s">
        <v>7545</v>
      </c>
      <c r="O321" s="272"/>
      <c r="P321" s="270"/>
      <c r="Q321" s="270"/>
      <c r="R321" s="272"/>
      <c r="S321" s="272"/>
      <c r="T321" s="272"/>
      <c r="U321" s="272"/>
      <c r="V321" s="272"/>
      <c r="W321" s="272"/>
      <c r="X321" s="272"/>
      <c r="Y321" s="272"/>
      <c r="Z321" s="272"/>
    </row>
    <row r="322">
      <c r="A322" s="270"/>
      <c r="B322" s="268" t="s">
        <v>1040</v>
      </c>
      <c r="C322" s="269" t="s">
        <v>1111</v>
      </c>
      <c r="D322" s="268" t="s">
        <v>16</v>
      </c>
      <c r="E322" s="270" t="s">
        <v>1112</v>
      </c>
      <c r="F322" s="123">
        <f t="shared" si="1"/>
        <v>0</v>
      </c>
      <c r="G322" s="269" t="s">
        <v>7565</v>
      </c>
      <c r="H322" s="45"/>
      <c r="I322" s="268" t="str">
        <f>IFERROR(__xludf.DUMMYFUNCTION("regexreplace(lower(C322), ""_"", """")"),"preheadctresulttext")</f>
        <v>preheadctresulttext</v>
      </c>
      <c r="J322" s="271" t="b">
        <f t="shared" si="24"/>
        <v>0</v>
      </c>
      <c r="K322" s="268" t="str">
        <f>IFERROR(__xludf.DUMMYFUNCTION("regexreplace(G322, ""_"", """")"),"beforebaselineheadctresulttext")</f>
        <v>beforebaselineheadctresulttext</v>
      </c>
      <c r="L32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""$1$2"")"),"pre__head_ct_result_text")</f>
        <v>pre__head_ct_result_text</v>
      </c>
      <c r="M322" s="272"/>
      <c r="N322" s="270"/>
      <c r="O322" s="272"/>
      <c r="P322" s="270"/>
      <c r="Q322" s="270"/>
      <c r="R322" s="272"/>
      <c r="S322" s="272"/>
      <c r="T322" s="272"/>
      <c r="U322" s="272"/>
      <c r="V322" s="272"/>
      <c r="W322" s="272"/>
      <c r="X322" s="272"/>
      <c r="Y322" s="272"/>
      <c r="Z322" s="272"/>
    </row>
    <row r="323">
      <c r="A323" s="270"/>
      <c r="B323" s="268" t="s">
        <v>1040</v>
      </c>
      <c r="C323" s="269" t="s">
        <v>1114</v>
      </c>
      <c r="D323" s="268" t="s">
        <v>40</v>
      </c>
      <c r="E323" s="270" t="s">
        <v>1115</v>
      </c>
      <c r="F323" s="123">
        <f t="shared" si="1"/>
        <v>0</v>
      </c>
      <c r="G323" s="269" t="s">
        <v>7566</v>
      </c>
      <c r="H323" s="45"/>
      <c r="I323" s="268" t="str">
        <f>IFERROR(__xludf.DUMMYFUNCTION("regexreplace(lower(C323), ""_"", """")"),"prebrainmri")</f>
        <v>prebrainmri</v>
      </c>
      <c r="J323" s="271" t="b">
        <f t="shared" si="24"/>
        <v>0</v>
      </c>
      <c r="K323" s="268" t="str">
        <f>IFERROR(__xludf.DUMMYFUNCTION("regexreplace(G323, ""_"", """")"),"beforebaselinebrainmri")</f>
        <v>beforebaselinebrainmri</v>
      </c>
      <c r="L32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""$1$2"")"),"pre__brain_mri")</f>
        <v>pre__brain_mri</v>
      </c>
      <c r="M323" s="272"/>
      <c r="N323" s="248" t="s">
        <v>7540</v>
      </c>
      <c r="O323" s="272"/>
      <c r="P323" s="270"/>
      <c r="Q323" s="270"/>
      <c r="R323" s="272"/>
      <c r="S323" s="272"/>
      <c r="T323" s="272"/>
      <c r="U323" s="272"/>
      <c r="V323" s="272"/>
      <c r="W323" s="272"/>
      <c r="X323" s="272"/>
      <c r="Y323" s="272"/>
      <c r="Z323" s="272"/>
    </row>
    <row r="324">
      <c r="A324" s="270"/>
      <c r="B324" s="268" t="s">
        <v>1040</v>
      </c>
      <c r="C324" s="269" t="s">
        <v>1117</v>
      </c>
      <c r="D324" s="268" t="s">
        <v>26</v>
      </c>
      <c r="E324" s="270" t="s">
        <v>1118</v>
      </c>
      <c r="F324" s="123">
        <f t="shared" si="1"/>
        <v>0</v>
      </c>
      <c r="G324" s="269" t="s">
        <v>7567</v>
      </c>
      <c r="H324" s="45"/>
      <c r="I324" s="268" t="str">
        <f>IFERROR(__xludf.DUMMYFUNCTION("regexreplace(lower(C324), ""_"", """")"),"prebrainmridate")</f>
        <v>prebrainmridate</v>
      </c>
      <c r="J324" s="271" t="b">
        <f t="shared" si="24"/>
        <v>0</v>
      </c>
      <c r="K324" s="268" t="str">
        <f>IFERROR(__xludf.DUMMYFUNCTION("regexreplace(G324, ""_"", """")"),"beforebaselinebrainmridate")</f>
        <v>beforebaselinebrainmridate</v>
      </c>
      <c r="L32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""$1$2"")"),"pre__brain_mri_date")</f>
        <v>pre__brain_mri_date</v>
      </c>
      <c r="M324" s="272"/>
      <c r="N324" s="276" t="s">
        <v>7542</v>
      </c>
      <c r="O324" s="272"/>
      <c r="P324" s="270"/>
      <c r="Q324" s="270"/>
      <c r="R324" s="272"/>
      <c r="S324" s="272"/>
      <c r="T324" s="272"/>
      <c r="U324" s="272"/>
      <c r="V324" s="272"/>
      <c r="W324" s="272"/>
      <c r="X324" s="272"/>
      <c r="Y324" s="272"/>
      <c r="Z324" s="272"/>
    </row>
    <row r="325">
      <c r="A325" s="270"/>
      <c r="B325" s="268" t="s">
        <v>1040</v>
      </c>
      <c r="C325" s="269" t="s">
        <v>1120</v>
      </c>
      <c r="D325" s="268" t="s">
        <v>145</v>
      </c>
      <c r="E325" s="270" t="s">
        <v>1121</v>
      </c>
      <c r="F325" s="123">
        <f t="shared" si="1"/>
        <v>0</v>
      </c>
      <c r="G325" s="269" t="s">
        <v>7568</v>
      </c>
      <c r="H325" s="45"/>
      <c r="I325" s="268" t="str">
        <f>IFERROR(__xludf.DUMMYFUNCTION("regexreplace(lower(C325), ""_"", """")"),"prebrainmritime")</f>
        <v>prebrainmritime</v>
      </c>
      <c r="J325" s="271" t="b">
        <f t="shared" si="24"/>
        <v>0</v>
      </c>
      <c r="K325" s="268" t="str">
        <f>IFERROR(__xludf.DUMMYFUNCTION("regexreplace(G325, ""_"", """")"),"beforebaselinebrainmritime")</f>
        <v>beforebaselinebrainmritime</v>
      </c>
      <c r="L325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""$1$2"")"),"pre__brain_mri_time")</f>
        <v>pre__brain_mri_time</v>
      </c>
      <c r="M325" s="272"/>
      <c r="N325" s="270"/>
      <c r="O325" s="272"/>
      <c r="P325" s="270"/>
      <c r="Q325" s="270"/>
      <c r="R325" s="272"/>
      <c r="S325" s="272"/>
      <c r="T325" s="272"/>
      <c r="U325" s="272"/>
      <c r="V325" s="272"/>
      <c r="W325" s="272"/>
      <c r="X325" s="272"/>
      <c r="Y325" s="272"/>
      <c r="Z325" s="272"/>
    </row>
    <row r="326">
      <c r="A326" s="270"/>
      <c r="B326" s="268" t="s">
        <v>1040</v>
      </c>
      <c r="C326" s="269" t="s">
        <v>1123</v>
      </c>
      <c r="D326" s="268" t="s">
        <v>1051</v>
      </c>
      <c r="E326" s="270" t="s">
        <v>1124</v>
      </c>
      <c r="F326" s="123">
        <f t="shared" si="1"/>
        <v>0</v>
      </c>
      <c r="G326" s="269" t="s">
        <v>7569</v>
      </c>
      <c r="H326" s="45"/>
      <c r="I326" s="268" t="str">
        <f>IFERROR(__xludf.DUMMYFUNCTION("regexreplace(lower(C326), ""_"", """")"),"prebrainmriresult1")</f>
        <v>prebrainmriresult1</v>
      </c>
      <c r="J326" s="271" t="b">
        <f t="shared" si="24"/>
        <v>0</v>
      </c>
      <c r="K326" s="268" t="str">
        <f>IFERROR(__xludf.DUMMYFUNCTION("regexreplace(G326, ""_"", """")"),"beforebaselinebrainmriresulta")</f>
        <v>beforebaselinebrainmriresulta</v>
      </c>
      <c r="L326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""$1$2"")"),"pre__brain_mri_result1")</f>
        <v>pre__brain_mri_result1</v>
      </c>
      <c r="M326" s="272"/>
      <c r="N326" s="276" t="s">
        <v>7545</v>
      </c>
      <c r="O326" s="272"/>
      <c r="P326" s="270"/>
      <c r="Q326" s="270"/>
      <c r="R326" s="272"/>
      <c r="S326" s="272"/>
      <c r="T326" s="272"/>
      <c r="U326" s="272"/>
      <c r="V326" s="272"/>
      <c r="W326" s="272"/>
      <c r="X326" s="272"/>
      <c r="Y326" s="272"/>
      <c r="Z326" s="272"/>
    </row>
    <row r="327">
      <c r="A327" s="270"/>
      <c r="B327" s="268" t="s">
        <v>1040</v>
      </c>
      <c r="C327" s="269" t="s">
        <v>1126</v>
      </c>
      <c r="D327" s="268" t="s">
        <v>1051</v>
      </c>
      <c r="E327" s="270" t="s">
        <v>1127</v>
      </c>
      <c r="F327" s="123">
        <f t="shared" si="1"/>
        <v>0</v>
      </c>
      <c r="G327" s="269" t="s">
        <v>7570</v>
      </c>
      <c r="H327" s="45"/>
      <c r="I327" s="268" t="str">
        <f>IFERROR(__xludf.DUMMYFUNCTION("regexreplace(lower(C327), ""_"", """")"),"prebrainmriresult2")</f>
        <v>prebrainmriresult2</v>
      </c>
      <c r="J327" s="271" t="b">
        <f t="shared" si="24"/>
        <v>0</v>
      </c>
      <c r="K327" s="268" t="str">
        <f>IFERROR(__xludf.DUMMYFUNCTION("regexreplace(G327, ""_"", """")"),"beforebaselinebrainmriresultb")</f>
        <v>beforebaselinebrainmriresultb</v>
      </c>
      <c r="L327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""$1$2"")"),"pre__brain_mri_result2")</f>
        <v>pre__brain_mri_result2</v>
      </c>
      <c r="M327" s="272"/>
      <c r="N327" s="276" t="s">
        <v>7545</v>
      </c>
      <c r="O327" s="272"/>
      <c r="P327" s="270"/>
      <c r="Q327" s="270"/>
      <c r="R327" s="272"/>
      <c r="S327" s="272"/>
      <c r="T327" s="272"/>
      <c r="U327" s="272"/>
      <c r="V327" s="272"/>
      <c r="W327" s="272"/>
      <c r="X327" s="272"/>
      <c r="Y327" s="272"/>
      <c r="Z327" s="272"/>
    </row>
    <row r="328">
      <c r="A328" s="270"/>
      <c r="B328" s="268" t="s">
        <v>1040</v>
      </c>
      <c r="C328" s="269" t="s">
        <v>1129</v>
      </c>
      <c r="D328" s="268" t="s">
        <v>1051</v>
      </c>
      <c r="E328" s="270" t="s">
        <v>1130</v>
      </c>
      <c r="F328" s="123">
        <f t="shared" si="1"/>
        <v>0</v>
      </c>
      <c r="G328" s="269" t="s">
        <v>7571</v>
      </c>
      <c r="H328" s="45"/>
      <c r="I328" s="268" t="str">
        <f>IFERROR(__xludf.DUMMYFUNCTION("regexreplace(lower(C328), ""_"", """")"),"prebrainmriresult3")</f>
        <v>prebrainmriresult3</v>
      </c>
      <c r="J328" s="271" t="b">
        <f t="shared" si="24"/>
        <v>0</v>
      </c>
      <c r="K328" s="268" t="str">
        <f>IFERROR(__xludf.DUMMYFUNCTION("regexreplace(G328, ""_"", """")"),"beforebaselinebrainmriresultc")</f>
        <v>beforebaselinebrainmriresultc</v>
      </c>
      <c r="L328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""$1$2"")"),"pre__brain_mri_result3")</f>
        <v>pre__brain_mri_result3</v>
      </c>
      <c r="M328" s="272"/>
      <c r="N328" s="276" t="s">
        <v>7545</v>
      </c>
      <c r="O328" s="272"/>
      <c r="P328" s="270"/>
      <c r="Q328" s="270"/>
      <c r="R328" s="272"/>
      <c r="S328" s="272"/>
      <c r="T328" s="272"/>
      <c r="U328" s="272"/>
      <c r="V328" s="272"/>
      <c r="W328" s="272"/>
      <c r="X328" s="272"/>
      <c r="Y328" s="272"/>
      <c r="Z328" s="272"/>
    </row>
    <row r="329">
      <c r="A329" s="270"/>
      <c r="B329" s="268" t="s">
        <v>1040</v>
      </c>
      <c r="C329" s="269" t="s">
        <v>1132</v>
      </c>
      <c r="D329" s="268" t="s">
        <v>1051</v>
      </c>
      <c r="E329" s="270" t="s">
        <v>1133</v>
      </c>
      <c r="F329" s="123">
        <f t="shared" si="1"/>
        <v>0</v>
      </c>
      <c r="G329" s="269" t="s">
        <v>7572</v>
      </c>
      <c r="H329" s="45"/>
      <c r="I329" s="268" t="str">
        <f>IFERROR(__xludf.DUMMYFUNCTION("regexreplace(lower(C329), ""_"", """")"),"prebrainmriresult4")</f>
        <v>prebrainmriresult4</v>
      </c>
      <c r="J329" s="271" t="b">
        <f t="shared" si="24"/>
        <v>0</v>
      </c>
      <c r="K329" s="268" t="str">
        <f>IFERROR(__xludf.DUMMYFUNCTION("regexreplace(G329, ""_"", """")"),"beforebaselinebrainmriresultd")</f>
        <v>beforebaselinebrainmriresultd</v>
      </c>
      <c r="L329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""$1$2"")"),"pre__brain_mri_result4")</f>
        <v>pre__brain_mri_result4</v>
      </c>
      <c r="M329" s="272"/>
      <c r="N329" s="276" t="s">
        <v>7545</v>
      </c>
      <c r="O329" s="272"/>
      <c r="P329" s="270"/>
      <c r="Q329" s="270"/>
      <c r="R329" s="272"/>
      <c r="S329" s="272"/>
      <c r="T329" s="272"/>
      <c r="U329" s="272"/>
      <c r="V329" s="272"/>
      <c r="W329" s="272"/>
      <c r="X329" s="272"/>
      <c r="Y329" s="272"/>
      <c r="Z329" s="272"/>
    </row>
    <row r="330">
      <c r="A330" s="270"/>
      <c r="B330" s="268" t="s">
        <v>1040</v>
      </c>
      <c r="C330" s="269" t="s">
        <v>1135</v>
      </c>
      <c r="D330" s="268" t="s">
        <v>1051</v>
      </c>
      <c r="E330" s="270" t="s">
        <v>1136</v>
      </c>
      <c r="F330" s="123">
        <f t="shared" si="1"/>
        <v>0</v>
      </c>
      <c r="G330" s="269" t="s">
        <v>7573</v>
      </c>
      <c r="H330" s="45"/>
      <c r="I330" s="268" t="str">
        <f>IFERROR(__xludf.DUMMYFUNCTION("regexreplace(lower(C330), ""_"", """")"),"prebrainmriresult5")</f>
        <v>prebrainmriresult5</v>
      </c>
      <c r="J330" s="271" t="b">
        <f t="shared" si="24"/>
        <v>0</v>
      </c>
      <c r="K330" s="268" t="str">
        <f>IFERROR(__xludf.DUMMYFUNCTION("regexreplace(G330, ""_"", """")"),"beforebaselinebrainmriresulte")</f>
        <v>beforebaselinebrainmriresulte</v>
      </c>
      <c r="L330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""$1$2"")"),"pre__brain_mri_result5")</f>
        <v>pre__brain_mri_result5</v>
      </c>
      <c r="M330" s="272"/>
      <c r="N330" s="276" t="s">
        <v>7545</v>
      </c>
      <c r="O330" s="272"/>
      <c r="P330" s="270"/>
      <c r="Q330" s="270"/>
      <c r="R330" s="272"/>
      <c r="S330" s="272"/>
      <c r="T330" s="272"/>
      <c r="U330" s="272"/>
      <c r="V330" s="272"/>
      <c r="W330" s="272"/>
      <c r="X330" s="272"/>
      <c r="Y330" s="272"/>
      <c r="Z330" s="272"/>
    </row>
    <row r="331">
      <c r="A331" s="270"/>
      <c r="B331" s="268" t="s">
        <v>1040</v>
      </c>
      <c r="C331" s="269" t="s">
        <v>1138</v>
      </c>
      <c r="D331" s="268" t="s">
        <v>1051</v>
      </c>
      <c r="E331" s="270" t="s">
        <v>1139</v>
      </c>
      <c r="F331" s="123">
        <f t="shared" si="1"/>
        <v>0</v>
      </c>
      <c r="G331" s="269" t="s">
        <v>7574</v>
      </c>
      <c r="H331" s="45"/>
      <c r="I331" s="268" t="str">
        <f>IFERROR(__xludf.DUMMYFUNCTION("regexreplace(lower(C331), ""_"", """")"),"prebrainmriresult6")</f>
        <v>prebrainmriresult6</v>
      </c>
      <c r="J331" s="271" t="b">
        <f t="shared" si="24"/>
        <v>0</v>
      </c>
      <c r="K331" s="268" t="str">
        <f>IFERROR(__xludf.DUMMYFUNCTION("regexreplace(G331, ""_"", """")"),"beforebaselinebrainmriresultf")</f>
        <v>beforebaselinebrainmriresultf</v>
      </c>
      <c r="L331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""$1$2"")"),"pre__brain_mri_result6")</f>
        <v>pre__brain_mri_result6</v>
      </c>
      <c r="M331" s="272"/>
      <c r="N331" s="276" t="s">
        <v>7545</v>
      </c>
      <c r="O331" s="272"/>
      <c r="P331" s="270"/>
      <c r="Q331" s="270"/>
      <c r="R331" s="272"/>
      <c r="S331" s="272"/>
      <c r="T331" s="272"/>
      <c r="U331" s="272"/>
      <c r="V331" s="272"/>
      <c r="W331" s="272"/>
      <c r="X331" s="272"/>
      <c r="Y331" s="272"/>
      <c r="Z331" s="272"/>
    </row>
    <row r="332">
      <c r="A332" s="270"/>
      <c r="B332" s="268" t="s">
        <v>1040</v>
      </c>
      <c r="C332" s="269" t="s">
        <v>1141</v>
      </c>
      <c r="D332" s="268" t="s">
        <v>1051</v>
      </c>
      <c r="E332" s="270" t="s">
        <v>1142</v>
      </c>
      <c r="F332" s="123">
        <f t="shared" si="1"/>
        <v>0</v>
      </c>
      <c r="G332" s="269" t="s">
        <v>7575</v>
      </c>
      <c r="H332" s="45"/>
      <c r="I332" s="268" t="str">
        <f>IFERROR(__xludf.DUMMYFUNCTION("regexreplace(lower(C332), ""_"", """")"),"prebrainmriresult7")</f>
        <v>prebrainmriresult7</v>
      </c>
      <c r="J332" s="271" t="b">
        <f t="shared" si="24"/>
        <v>0</v>
      </c>
      <c r="K332" s="268" t="str">
        <f>IFERROR(__xludf.DUMMYFUNCTION("regexreplace(G332, ""_"", """")"),"beforebaselinebrainmriresultg")</f>
        <v>beforebaselinebrainmriresultg</v>
      </c>
      <c r="L332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""$1$2"")"),"pre__brain_mri_result7")</f>
        <v>pre__brain_mri_result7</v>
      </c>
      <c r="M332" s="272"/>
      <c r="N332" s="276" t="s">
        <v>7545</v>
      </c>
      <c r="O332" s="272"/>
      <c r="P332" s="270"/>
      <c r="Q332" s="270"/>
      <c r="R332" s="272"/>
      <c r="S332" s="272"/>
      <c r="T332" s="272"/>
      <c r="U332" s="272"/>
      <c r="V332" s="272"/>
      <c r="W332" s="272"/>
      <c r="X332" s="272"/>
      <c r="Y332" s="272"/>
      <c r="Z332" s="272"/>
    </row>
    <row r="333">
      <c r="A333" s="270"/>
      <c r="B333" s="268" t="s">
        <v>1040</v>
      </c>
      <c r="C333" s="269" t="s">
        <v>1144</v>
      </c>
      <c r="D333" s="268" t="s">
        <v>1051</v>
      </c>
      <c r="E333" s="270" t="s">
        <v>1145</v>
      </c>
      <c r="F333" s="123">
        <f t="shared" si="1"/>
        <v>0</v>
      </c>
      <c r="G333" s="269" t="s">
        <v>7576</v>
      </c>
      <c r="H333" s="45"/>
      <c r="I333" s="268" t="str">
        <f>IFERROR(__xludf.DUMMYFUNCTION("regexreplace(lower(C333), ""_"", """")"),"prebrainmriresult8")</f>
        <v>prebrainmriresult8</v>
      </c>
      <c r="J333" s="271" t="b">
        <f t="shared" si="24"/>
        <v>0</v>
      </c>
      <c r="K333" s="268" t="str">
        <f>IFERROR(__xludf.DUMMYFUNCTION("regexreplace(G333, ""_"", """")"),"beforebaselinebrainmriresulth")</f>
        <v>beforebaselinebrainmriresulth</v>
      </c>
      <c r="L333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""$1$2"")"),"pre__brain_mri_result8")</f>
        <v>pre__brain_mri_result8</v>
      </c>
      <c r="M333" s="272"/>
      <c r="N333" s="276" t="s">
        <v>7545</v>
      </c>
      <c r="O333" s="272"/>
      <c r="P333" s="270"/>
      <c r="Q333" s="270"/>
      <c r="R333" s="272"/>
      <c r="S333" s="272"/>
      <c r="T333" s="272"/>
      <c r="U333" s="272"/>
      <c r="V333" s="272"/>
      <c r="W333" s="272"/>
      <c r="X333" s="272"/>
      <c r="Y333" s="272"/>
      <c r="Z333" s="272"/>
    </row>
    <row r="334">
      <c r="A334" s="270"/>
      <c r="B334" s="268" t="s">
        <v>1040</v>
      </c>
      <c r="C334" s="269" t="s">
        <v>1147</v>
      </c>
      <c r="D334" s="268" t="s">
        <v>16</v>
      </c>
      <c r="E334" s="270" t="s">
        <v>1148</v>
      </c>
      <c r="F334" s="123">
        <f t="shared" si="1"/>
        <v>0</v>
      </c>
      <c r="G334" s="269" t="s">
        <v>7577</v>
      </c>
      <c r="H334" s="45"/>
      <c r="I334" s="268" t="str">
        <f>IFERROR(__xludf.DUMMYFUNCTION("regexreplace(lower(C334), ""_"", """")"),"prebrainmriresulttext")</f>
        <v>prebrainmriresulttext</v>
      </c>
      <c r="J334" s="271" t="b">
        <f t="shared" si="24"/>
        <v>0</v>
      </c>
      <c r="K334" s="268" t="str">
        <f>IFERROR(__xludf.DUMMYFUNCTION("regexreplace(G334, ""_"", """")"),"beforebaselinebrainmriresulttext")</f>
        <v>beforebaselinebrainmriresulttext</v>
      </c>
      <c r="L334" s="268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""$1$2"")"),"pre__brain_mri_result_text")</f>
        <v>pre__brain_mri_result_text</v>
      </c>
      <c r="M334" s="272"/>
      <c r="N334" s="270"/>
      <c r="O334" s="272"/>
      <c r="P334" s="270"/>
      <c r="Q334" s="270"/>
      <c r="R334" s="272"/>
      <c r="S334" s="272"/>
      <c r="T334" s="272"/>
      <c r="U334" s="272"/>
      <c r="V334" s="272"/>
      <c r="W334" s="272"/>
      <c r="X334" s="272"/>
      <c r="Y334" s="272"/>
      <c r="Z334" s="272"/>
    </row>
    <row r="335">
      <c r="A335" s="189"/>
      <c r="B335" s="189"/>
      <c r="C335" s="203"/>
      <c r="D335" s="154"/>
      <c r="E335" s="151"/>
      <c r="F335" s="123">
        <f t="shared" si="1"/>
        <v>0</v>
      </c>
      <c r="G335" s="121"/>
      <c r="H335" s="49"/>
      <c r="I335" s="192"/>
      <c r="J335" s="192"/>
      <c r="K335" s="192"/>
      <c r="L335" s="121"/>
      <c r="M335" s="193"/>
      <c r="N335" s="211"/>
      <c r="O335" s="193"/>
      <c r="P335" s="151"/>
      <c r="Q335" s="151"/>
      <c r="R335" s="193"/>
      <c r="S335" s="193"/>
      <c r="T335" s="193"/>
      <c r="U335" s="193"/>
      <c r="V335" s="193"/>
      <c r="W335" s="193"/>
      <c r="X335" s="193"/>
      <c r="Y335" s="193"/>
      <c r="Z335" s="193"/>
    </row>
    <row r="336">
      <c r="A336" s="189" t="s">
        <v>10</v>
      </c>
      <c r="B336" s="189" t="s">
        <v>1150</v>
      </c>
      <c r="C336" s="203" t="s">
        <v>1151</v>
      </c>
      <c r="D336" s="154" t="s">
        <v>40</v>
      </c>
      <c r="E336" s="151" t="s">
        <v>1152</v>
      </c>
      <c r="F336" s="123">
        <f t="shared" si="1"/>
        <v>2</v>
      </c>
      <c r="G336" s="121" t="s">
        <v>7578</v>
      </c>
      <c r="H336" s="49"/>
      <c r="I336" s="192" t="str">
        <f>IFERROR(__xludf.DUMMYFUNCTION("regexreplace(lower(C336), ""_"", """")"),"preneuroexam")</f>
        <v>preneuroexam</v>
      </c>
      <c r="J336" s="192" t="b">
        <f t="shared" ref="J336:J351" si="25">exact(I336, K336)</f>
        <v>0</v>
      </c>
      <c r="K336" s="192" t="str">
        <f>IFERROR(__xludf.DUMMYFUNCTION("regexreplace(G336, ""_"", """")"),"screenneuroexam")</f>
        <v>screenneuroexam</v>
      </c>
      <c r="L3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""$1$2"")"),"pre__neuro_exam")</f>
        <v>pre__neuro_exam</v>
      </c>
      <c r="M336" s="193"/>
      <c r="N336" s="211"/>
      <c r="O336" s="193"/>
      <c r="P336" s="151" t="s">
        <v>1154</v>
      </c>
      <c r="Q336" s="151" t="s">
        <v>1155</v>
      </c>
      <c r="R336" s="193"/>
      <c r="S336" s="193"/>
      <c r="T336" s="193"/>
      <c r="U336" s="193"/>
      <c r="V336" s="193"/>
      <c r="W336" s="193"/>
      <c r="X336" s="193"/>
      <c r="Y336" s="193"/>
      <c r="Z336" s="193"/>
    </row>
    <row r="337">
      <c r="A337" s="189"/>
      <c r="B337" s="189" t="s">
        <v>1150</v>
      </c>
      <c r="C337" s="154" t="s">
        <v>1156</v>
      </c>
      <c r="D337" s="154" t="s">
        <v>1157</v>
      </c>
      <c r="E337" s="151" t="s">
        <v>1158</v>
      </c>
      <c r="F337" s="123">
        <f t="shared" si="1"/>
        <v>2</v>
      </c>
      <c r="G337" s="121" t="s">
        <v>7579</v>
      </c>
      <c r="H337" s="12"/>
      <c r="I337" s="192" t="str">
        <f>IFERROR(__xludf.DUMMYFUNCTION("regexreplace(lower(C337), ""_"", """")"),"prenoneuroexamreason")</f>
        <v>prenoneuroexamreason</v>
      </c>
      <c r="J337" s="192" t="b">
        <f t="shared" si="25"/>
        <v>0</v>
      </c>
      <c r="K337" s="192" t="str">
        <f>IFERROR(__xludf.DUMMYFUNCTION("regexreplace(G337, ""_"", """")"),"screennoneuroexamreason")</f>
        <v>screennoneuroexamreason</v>
      </c>
      <c r="L3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""$1$2"")"),"pre__no_neuro_exam_reason")</f>
        <v>pre__no_neuro_exam_reason</v>
      </c>
      <c r="M337" s="193"/>
      <c r="N337" s="200"/>
      <c r="O337" s="193"/>
      <c r="P337" s="151" t="s">
        <v>1160</v>
      </c>
      <c r="Q337" s="151" t="s">
        <v>1161</v>
      </c>
      <c r="R337" s="193"/>
      <c r="S337" s="193"/>
      <c r="T337" s="193"/>
      <c r="U337" s="193"/>
      <c r="V337" s="193"/>
      <c r="W337" s="193"/>
      <c r="X337" s="193"/>
      <c r="Y337" s="193"/>
      <c r="Z337" s="193"/>
    </row>
    <row r="338">
      <c r="A338" s="189"/>
      <c r="B338" s="189" t="s">
        <v>1150</v>
      </c>
      <c r="C338" s="154" t="s">
        <v>1162</v>
      </c>
      <c r="D338" s="154" t="s">
        <v>40</v>
      </c>
      <c r="E338" s="151" t="s">
        <v>1163</v>
      </c>
      <c r="F338" s="123">
        <f t="shared" si="1"/>
        <v>2</v>
      </c>
      <c r="G338" s="121" t="s">
        <v>7580</v>
      </c>
      <c r="H338" s="12"/>
      <c r="I338" s="192" t="str">
        <f>IFERROR(__xludf.DUMMYFUNCTION("regexreplace(lower(C338), ""_"", """")"),"preneuroexamsignmoderateseverehie3category")</f>
        <v>preneuroexamsignmoderateseverehie3category</v>
      </c>
      <c r="J338" s="192" t="b">
        <f t="shared" si="25"/>
        <v>0</v>
      </c>
      <c r="K338" s="192" t="str">
        <f>IFERROR(__xludf.DUMMYFUNCTION("regexreplace(G338, ""_"", """")"),"screenneuroexamsignmoderateseverehie3category")</f>
        <v>screenneuroexamsignmoderateseverehie3category</v>
      </c>
      <c r="L3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""$1$2"")"),"pre__neuro_exam_sign_moderate_severe_hie3category")</f>
        <v>pre__neuro_exam_sign_moderate_severe_hie3category</v>
      </c>
      <c r="M338" s="193"/>
      <c r="N338" s="200"/>
      <c r="O338" s="193"/>
      <c r="P338" s="151" t="s">
        <v>1165</v>
      </c>
      <c r="Q338" s="151" t="s">
        <v>1166</v>
      </c>
      <c r="R338" s="193"/>
      <c r="S338" s="193"/>
      <c r="T338" s="193"/>
      <c r="U338" s="193"/>
      <c r="V338" s="193"/>
      <c r="W338" s="193"/>
      <c r="X338" s="193"/>
      <c r="Y338" s="193"/>
      <c r="Z338" s="193"/>
    </row>
    <row r="339">
      <c r="A339" s="189"/>
      <c r="B339" s="189" t="s">
        <v>1150</v>
      </c>
      <c r="C339" s="154" t="s">
        <v>1167</v>
      </c>
      <c r="D339" s="154" t="s">
        <v>1168</v>
      </c>
      <c r="E339" s="151" t="s">
        <v>1169</v>
      </c>
      <c r="F339" s="123">
        <f t="shared" si="1"/>
        <v>3</v>
      </c>
      <c r="G339" s="121" t="s">
        <v>7581</v>
      </c>
      <c r="H339" s="12"/>
      <c r="I339" s="192" t="str">
        <f>IFERROR(__xludf.DUMMYFUNCTION("regexreplace(lower(C339), ""_"", """")"),"preneuroexamlevelconsciousness")</f>
        <v>preneuroexamlevelconsciousness</v>
      </c>
      <c r="J339" s="192" t="b">
        <f t="shared" si="25"/>
        <v>0</v>
      </c>
      <c r="K339" s="192" t="str">
        <f>IFERROR(__xludf.DUMMYFUNCTION("regexreplace(G339, ""_"", """")"),"screenneuroexamlevelconsciousness")</f>
        <v>screenneuroexamlevelconsciousness</v>
      </c>
      <c r="L3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""$1$2"")"),"pre__neuro_exam_level_consciousness")</f>
        <v>pre__neuro_exam_level_consciousness</v>
      </c>
      <c r="M339" s="193"/>
      <c r="N339" s="200" t="s">
        <v>7582</v>
      </c>
      <c r="O339" s="194" t="s">
        <v>7583</v>
      </c>
      <c r="P339" s="151" t="s">
        <v>1171</v>
      </c>
      <c r="Q339" s="151" t="s">
        <v>1172</v>
      </c>
      <c r="R339" s="207"/>
      <c r="S339" s="207"/>
      <c r="T339" s="193"/>
      <c r="U339" s="193"/>
      <c r="V339" s="193"/>
      <c r="W339" s="193"/>
      <c r="X339" s="193"/>
      <c r="Y339" s="193"/>
      <c r="Z339" s="193"/>
    </row>
    <row r="340">
      <c r="A340" s="189"/>
      <c r="B340" s="189" t="s">
        <v>1150</v>
      </c>
      <c r="C340" s="154" t="s">
        <v>1173</v>
      </c>
      <c r="D340" s="154" t="s">
        <v>1174</v>
      </c>
      <c r="E340" s="151" t="s">
        <v>1175</v>
      </c>
      <c r="F340" s="123">
        <f t="shared" si="1"/>
        <v>3</v>
      </c>
      <c r="G340" s="121" t="s">
        <v>7584</v>
      </c>
      <c r="H340" s="12"/>
      <c r="I340" s="192" t="str">
        <f>IFERROR(__xludf.DUMMYFUNCTION("regexreplace(lower(C340), ""_"", """")"),"preneuroexamspontaneousactivity")</f>
        <v>preneuroexamspontaneousactivity</v>
      </c>
      <c r="J340" s="192" t="b">
        <f t="shared" si="25"/>
        <v>0</v>
      </c>
      <c r="K340" s="192" t="str">
        <f>IFERROR(__xludf.DUMMYFUNCTION("regexreplace(G340, ""_"", """")"),"screenneuroexamspontaneousactivity")</f>
        <v>screenneuroexamspontaneousactivity</v>
      </c>
      <c r="L3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""$1$2"")"),"pre__neuro_exam_spontaneous_activity")</f>
        <v>pre__neuro_exam_spontaneous_activity</v>
      </c>
      <c r="M340" s="193"/>
      <c r="N340" s="200"/>
      <c r="O340" s="194" t="s">
        <v>7585</v>
      </c>
      <c r="P340" s="151" t="s">
        <v>1177</v>
      </c>
      <c r="Q340" s="151" t="s">
        <v>1178</v>
      </c>
      <c r="R340" s="207"/>
      <c r="S340" s="207"/>
      <c r="T340" s="193"/>
      <c r="U340" s="193"/>
      <c r="V340" s="193"/>
      <c r="W340" s="193"/>
      <c r="X340" s="193"/>
      <c r="Y340" s="193"/>
      <c r="Z340" s="193"/>
    </row>
    <row r="341">
      <c r="A341" s="189"/>
      <c r="B341" s="189" t="s">
        <v>1150</v>
      </c>
      <c r="C341" s="154" t="s">
        <v>1179</v>
      </c>
      <c r="D341" s="154" t="s">
        <v>1180</v>
      </c>
      <c r="E341" s="151" t="s">
        <v>1181</v>
      </c>
      <c r="F341" s="123">
        <f t="shared" si="1"/>
        <v>3</v>
      </c>
      <c r="G341" s="121" t="s">
        <v>7586</v>
      </c>
      <c r="H341" s="12"/>
      <c r="I341" s="192" t="str">
        <f>IFERROR(__xludf.DUMMYFUNCTION("regexreplace(lower(C341), ""_"", """")"),"preneuroexamposture")</f>
        <v>preneuroexamposture</v>
      </c>
      <c r="J341" s="192" t="b">
        <f t="shared" si="25"/>
        <v>0</v>
      </c>
      <c r="K341" s="192" t="str">
        <f>IFERROR(__xludf.DUMMYFUNCTION("regexreplace(G341, ""_"", """")"),"screenneuroexamposture")</f>
        <v>screenneuroexamposture</v>
      </c>
      <c r="L3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""$1$2"")"),"pre__neuro_exam_posture")</f>
        <v>pre__neuro_exam_posture</v>
      </c>
      <c r="M341" s="193"/>
      <c r="N341" s="151"/>
      <c r="O341" s="194" t="s">
        <v>7587</v>
      </c>
      <c r="P341" s="151" t="s">
        <v>1183</v>
      </c>
      <c r="Q341" s="151" t="s">
        <v>1184</v>
      </c>
      <c r="R341" s="207"/>
      <c r="S341" s="207"/>
      <c r="T341" s="193"/>
      <c r="U341" s="193"/>
      <c r="V341" s="193"/>
      <c r="W341" s="193"/>
      <c r="X341" s="193"/>
      <c r="Y341" s="193"/>
      <c r="Z341" s="193"/>
    </row>
    <row r="342">
      <c r="A342" s="189"/>
      <c r="B342" s="189" t="s">
        <v>1150</v>
      </c>
      <c r="C342" s="196" t="s">
        <v>1185</v>
      </c>
      <c r="D342" s="154" t="s">
        <v>1186</v>
      </c>
      <c r="E342" s="198" t="s">
        <v>1187</v>
      </c>
      <c r="F342" s="123">
        <f t="shared" si="1"/>
        <v>3</v>
      </c>
      <c r="G342" s="121" t="s">
        <v>7588</v>
      </c>
      <c r="H342" s="39"/>
      <c r="I342" s="192" t="str">
        <f>IFERROR(__xludf.DUMMYFUNCTION("regexreplace(lower(C342), ""_"", """")"),"preneuroexamtone")</f>
        <v>preneuroexamtone</v>
      </c>
      <c r="J342" s="192" t="b">
        <f t="shared" si="25"/>
        <v>0</v>
      </c>
      <c r="K342" s="192" t="str">
        <f>IFERROR(__xludf.DUMMYFUNCTION("regexreplace(G342, ""_"", """")"),"screenneuroexamtone")</f>
        <v>screenneuroexamtone</v>
      </c>
      <c r="L3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""$1$2"")"),"pre__neuro_exam_tone")</f>
        <v>pre__neuro_exam_tone</v>
      </c>
      <c r="M342" s="193"/>
      <c r="N342" s="151"/>
      <c r="O342" s="194" t="s">
        <v>7589</v>
      </c>
      <c r="P342" s="151" t="s">
        <v>1189</v>
      </c>
      <c r="Q342" s="151" t="s">
        <v>1190</v>
      </c>
      <c r="R342" s="207"/>
      <c r="S342" s="207"/>
      <c r="T342" s="193"/>
      <c r="U342" s="193"/>
      <c r="V342" s="193"/>
      <c r="W342" s="193"/>
      <c r="X342" s="193"/>
      <c r="Y342" s="193"/>
      <c r="Z342" s="193"/>
    </row>
    <row r="343">
      <c r="A343" s="189"/>
      <c r="B343" s="189" t="s">
        <v>1150</v>
      </c>
      <c r="C343" s="154" t="s">
        <v>1191</v>
      </c>
      <c r="D343" s="154" t="s">
        <v>1192</v>
      </c>
      <c r="E343" s="151" t="s">
        <v>1193</v>
      </c>
      <c r="F343" s="123">
        <f t="shared" si="1"/>
        <v>3</v>
      </c>
      <c r="G343" s="121" t="s">
        <v>7590</v>
      </c>
      <c r="H343" s="12"/>
      <c r="I343" s="192" t="str">
        <f>IFERROR(__xludf.DUMMYFUNCTION("regexreplace(lower(C343), ""_"", """")"),"preneuroexamsuck")</f>
        <v>preneuroexamsuck</v>
      </c>
      <c r="J343" s="192" t="b">
        <f t="shared" si="25"/>
        <v>0</v>
      </c>
      <c r="K343" s="192" t="str">
        <f>IFERROR(__xludf.DUMMYFUNCTION("regexreplace(G343, ""_"", """")"),"screenneuroexamsuck")</f>
        <v>screenneuroexamsuck</v>
      </c>
      <c r="L3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""$1$2"")"),"pre__neuro_exam_suck")</f>
        <v>pre__neuro_exam_suck</v>
      </c>
      <c r="M343" s="193"/>
      <c r="N343" s="151"/>
      <c r="O343" s="194" t="s">
        <v>7591</v>
      </c>
      <c r="P343" s="151" t="s">
        <v>1195</v>
      </c>
      <c r="Q343" s="151" t="s">
        <v>1196</v>
      </c>
      <c r="R343" s="207"/>
      <c r="S343" s="207"/>
      <c r="T343" s="193"/>
      <c r="U343" s="193"/>
      <c r="V343" s="193"/>
      <c r="W343" s="193"/>
      <c r="X343" s="193"/>
      <c r="Y343" s="193"/>
      <c r="Z343" s="193"/>
    </row>
    <row r="344">
      <c r="A344" s="189"/>
      <c r="B344" s="189" t="s">
        <v>1150</v>
      </c>
      <c r="C344" s="154" t="s">
        <v>1197</v>
      </c>
      <c r="D344" s="154" t="s">
        <v>1198</v>
      </c>
      <c r="E344" s="151" t="s">
        <v>1199</v>
      </c>
      <c r="F344" s="123">
        <f t="shared" si="1"/>
        <v>3</v>
      </c>
      <c r="G344" s="121" t="s">
        <v>7592</v>
      </c>
      <c r="H344" s="12"/>
      <c r="I344" s="192" t="str">
        <f>IFERROR(__xludf.DUMMYFUNCTION("regexreplace(lower(C344), ""_"", """")"),"preneuroexammoro")</f>
        <v>preneuroexammoro</v>
      </c>
      <c r="J344" s="192" t="b">
        <f t="shared" si="25"/>
        <v>0</v>
      </c>
      <c r="K344" s="192" t="str">
        <f>IFERROR(__xludf.DUMMYFUNCTION("regexreplace(G344, ""_"", """")"),"screenneuroexammoro")</f>
        <v>screenneuroexammoro</v>
      </c>
      <c r="L3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""$1$2"")"),"pre__neuro_exam_moro")</f>
        <v>pre__neuro_exam_moro</v>
      </c>
      <c r="M344" s="193"/>
      <c r="N344" s="151"/>
      <c r="O344" s="194" t="s">
        <v>7593</v>
      </c>
      <c r="P344" s="151" t="s">
        <v>1201</v>
      </c>
      <c r="Q344" s="151" t="s">
        <v>1202</v>
      </c>
      <c r="R344" s="207"/>
      <c r="S344" s="207"/>
      <c r="T344" s="193"/>
      <c r="U344" s="193"/>
      <c r="V344" s="193"/>
      <c r="W344" s="193"/>
      <c r="X344" s="193"/>
      <c r="Y344" s="193"/>
      <c r="Z344" s="193"/>
    </row>
    <row r="345">
      <c r="A345" s="189"/>
      <c r="B345" s="189" t="s">
        <v>1150</v>
      </c>
      <c r="C345" s="154" t="s">
        <v>1203</v>
      </c>
      <c r="D345" s="154" t="s">
        <v>1204</v>
      </c>
      <c r="E345" s="151" t="s">
        <v>1205</v>
      </c>
      <c r="F345" s="123">
        <f t="shared" si="1"/>
        <v>3</v>
      </c>
      <c r="G345" s="121" t="s">
        <v>7594</v>
      </c>
      <c r="H345" s="12"/>
      <c r="I345" s="192" t="str">
        <f>IFERROR(__xludf.DUMMYFUNCTION("regexreplace(lower(C345), ""_"", """")"),"preneuroexampupils")</f>
        <v>preneuroexampupils</v>
      </c>
      <c r="J345" s="192" t="b">
        <f t="shared" si="25"/>
        <v>0</v>
      </c>
      <c r="K345" s="192" t="str">
        <f>IFERROR(__xludf.DUMMYFUNCTION("regexreplace(G345, ""_"", """")"),"screenneuroexampupils")</f>
        <v>screenneuroexampupils</v>
      </c>
      <c r="L3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""$1$2"")"),"pre__neuro_exam_pupils")</f>
        <v>pre__neuro_exam_pupils</v>
      </c>
      <c r="M345" s="193"/>
      <c r="N345" s="151"/>
      <c r="O345" s="194" t="s">
        <v>7595</v>
      </c>
      <c r="P345" s="151" t="s">
        <v>1207</v>
      </c>
      <c r="Q345" s="151" t="s">
        <v>1208</v>
      </c>
      <c r="R345" s="207"/>
      <c r="S345" s="207"/>
      <c r="T345" s="193"/>
      <c r="U345" s="193"/>
      <c r="V345" s="193"/>
      <c r="W345" s="193"/>
      <c r="X345" s="193"/>
      <c r="Y345" s="193"/>
      <c r="Z345" s="193"/>
    </row>
    <row r="346">
      <c r="A346" s="189"/>
      <c r="B346" s="189" t="s">
        <v>1150</v>
      </c>
      <c r="C346" s="154" t="s">
        <v>1209</v>
      </c>
      <c r="D346" s="154" t="s">
        <v>1210</v>
      </c>
      <c r="E346" s="151" t="s">
        <v>1211</v>
      </c>
      <c r="F346" s="123">
        <f t="shared" si="1"/>
        <v>2</v>
      </c>
      <c r="G346" s="121" t="s">
        <v>7596</v>
      </c>
      <c r="H346" s="12"/>
      <c r="I346" s="192" t="str">
        <f>IFERROR(__xludf.DUMMYFUNCTION("regexreplace(lower(C346), ""_"", """")"),"preneuroexamheartrate")</f>
        <v>preneuroexamheartrate</v>
      </c>
      <c r="J346" s="192" t="b">
        <f t="shared" si="25"/>
        <v>0</v>
      </c>
      <c r="K346" s="192" t="str">
        <f>IFERROR(__xludf.DUMMYFUNCTION("regexreplace(G346, ""_"", """")"),"screenneuroexamheartrate")</f>
        <v>screenneuroexamheartrate</v>
      </c>
      <c r="L3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""$1$2"")"),"pre__neuro_exam_heart_rate")</f>
        <v>pre__neuro_exam_heart_rate</v>
      </c>
      <c r="M346" s="193"/>
      <c r="N346" s="151"/>
      <c r="O346" s="193"/>
      <c r="P346" s="151" t="s">
        <v>1213</v>
      </c>
      <c r="Q346" s="151" t="s">
        <v>1214</v>
      </c>
      <c r="R346" s="207"/>
      <c r="S346" s="207"/>
      <c r="T346" s="193"/>
      <c r="U346" s="193"/>
      <c r="V346" s="193"/>
      <c r="W346" s="193"/>
      <c r="X346" s="193"/>
      <c r="Y346" s="193"/>
      <c r="Z346" s="193"/>
    </row>
    <row r="347">
      <c r="A347" s="189"/>
      <c r="B347" s="189" t="s">
        <v>1150</v>
      </c>
      <c r="C347" s="154" t="s">
        <v>1215</v>
      </c>
      <c r="D347" s="154" t="s">
        <v>1216</v>
      </c>
      <c r="E347" s="151" t="s">
        <v>1217</v>
      </c>
      <c r="F347" s="123">
        <f t="shared" si="1"/>
        <v>3</v>
      </c>
      <c r="G347" s="121" t="s">
        <v>7597</v>
      </c>
      <c r="H347" s="12"/>
      <c r="I347" s="192" t="str">
        <f>IFERROR(__xludf.DUMMYFUNCTION("regexreplace(lower(C347), ""_"", """")"),"preneuroexamrespiration")</f>
        <v>preneuroexamrespiration</v>
      </c>
      <c r="J347" s="192" t="b">
        <f t="shared" si="25"/>
        <v>0</v>
      </c>
      <c r="K347" s="192" t="str">
        <f>IFERROR(__xludf.DUMMYFUNCTION("regexreplace(G347, ""_"", """")"),"screenneuroexamrespiration")</f>
        <v>screenneuroexamrespiration</v>
      </c>
      <c r="L3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""$1$2"")"),"pre__neuro_exam_respiration")</f>
        <v>pre__neuro_exam_respiration</v>
      </c>
      <c r="M347" s="193"/>
      <c r="N347" s="151"/>
      <c r="O347" s="194" t="s">
        <v>7598</v>
      </c>
      <c r="P347" s="151" t="s">
        <v>1219</v>
      </c>
      <c r="Q347" s="151" t="s">
        <v>1220</v>
      </c>
      <c r="R347" s="207"/>
      <c r="S347" s="207"/>
      <c r="T347" s="193"/>
      <c r="U347" s="193"/>
      <c r="V347" s="193"/>
      <c r="W347" s="193"/>
      <c r="X347" s="193"/>
      <c r="Y347" s="193"/>
      <c r="Z347" s="193"/>
    </row>
    <row r="348">
      <c r="A348" s="189"/>
      <c r="B348" s="189" t="s">
        <v>1150</v>
      </c>
      <c r="C348" s="154" t="s">
        <v>1221</v>
      </c>
      <c r="D348" s="154" t="s">
        <v>26</v>
      </c>
      <c r="E348" s="198" t="s">
        <v>1222</v>
      </c>
      <c r="F348" s="123">
        <f t="shared" si="1"/>
        <v>2</v>
      </c>
      <c r="G348" s="121" t="s">
        <v>7599</v>
      </c>
      <c r="H348" s="12"/>
      <c r="I348" s="192" t="str">
        <f>IFERROR(__xludf.DUMMYFUNCTION("regexreplace(lower(C348), ""_"", """")"),"preneuroexamdate")</f>
        <v>preneuroexamdate</v>
      </c>
      <c r="J348" s="192" t="b">
        <f t="shared" si="25"/>
        <v>0</v>
      </c>
      <c r="K348" s="192" t="str">
        <f>IFERROR(__xludf.DUMMYFUNCTION("regexreplace(G348, ""_"", """")"),"screenneuroexamdate")</f>
        <v>screenneuroexamdate</v>
      </c>
      <c r="L3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""$1$2"")"),"pre__neuro_exam_date")</f>
        <v>pre__neuro_exam_date</v>
      </c>
      <c r="M348" s="193"/>
      <c r="N348" s="151"/>
      <c r="O348" s="193"/>
      <c r="P348" s="151" t="s">
        <v>1224</v>
      </c>
      <c r="Q348" s="151" t="s">
        <v>1225</v>
      </c>
      <c r="R348" s="207"/>
      <c r="S348" s="207"/>
      <c r="T348" s="193"/>
      <c r="U348" s="193"/>
      <c r="V348" s="193"/>
      <c r="W348" s="193"/>
      <c r="X348" s="193"/>
      <c r="Y348" s="193"/>
      <c r="Z348" s="193"/>
    </row>
    <row r="349">
      <c r="A349" s="189"/>
      <c r="B349" s="189" t="s">
        <v>1150</v>
      </c>
      <c r="C349" s="154" t="s">
        <v>1226</v>
      </c>
      <c r="D349" s="154" t="s">
        <v>145</v>
      </c>
      <c r="E349" s="198" t="s">
        <v>1227</v>
      </c>
      <c r="F349" s="123">
        <f t="shared" si="1"/>
        <v>3</v>
      </c>
      <c r="G349" s="121" t="s">
        <v>7600</v>
      </c>
      <c r="H349" s="12"/>
      <c r="I349" s="192" t="str">
        <f>IFERROR(__xludf.DUMMYFUNCTION("regexreplace(lower(C349), ""_"", """")"),"preneuroexamtime")</f>
        <v>preneuroexamtime</v>
      </c>
      <c r="J349" s="192" t="b">
        <f t="shared" si="25"/>
        <v>0</v>
      </c>
      <c r="K349" s="192" t="str">
        <f>IFERROR(__xludf.DUMMYFUNCTION("regexreplace(G349, ""_"", """")"),"screenneuroexamtime")</f>
        <v>screenneuroexamtime</v>
      </c>
      <c r="L3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""$1$2"")"),"pre__neuro_exam_time")</f>
        <v>pre__neuro_exam_time</v>
      </c>
      <c r="M349" s="193"/>
      <c r="N349" s="151"/>
      <c r="O349" s="194" t="s">
        <v>7601</v>
      </c>
      <c r="P349" s="151" t="s">
        <v>1229</v>
      </c>
      <c r="Q349" s="151" t="s">
        <v>1230</v>
      </c>
      <c r="R349" s="207"/>
      <c r="S349" s="207"/>
      <c r="T349" s="193"/>
      <c r="U349" s="193"/>
      <c r="V349" s="193"/>
      <c r="W349" s="193"/>
      <c r="X349" s="193"/>
      <c r="Y349" s="193"/>
      <c r="Z349" s="193"/>
    </row>
    <row r="350">
      <c r="A350" s="189"/>
      <c r="B350" s="189" t="s">
        <v>1150</v>
      </c>
      <c r="C350" s="154" t="s">
        <v>1231</v>
      </c>
      <c r="D350" s="154" t="s">
        <v>40</v>
      </c>
      <c r="E350" s="151" t="s">
        <v>1232</v>
      </c>
      <c r="F350" s="123">
        <f t="shared" si="1"/>
        <v>2</v>
      </c>
      <c r="G350" s="121" t="s">
        <v>7602</v>
      </c>
      <c r="H350" s="12"/>
      <c r="I350" s="192" t="str">
        <f>IFERROR(__xludf.DUMMYFUNCTION("regexreplace(lower(C350), ""_"", """")"),"preneuroexamsedate")</f>
        <v>preneuroexamsedate</v>
      </c>
      <c r="J350" s="192" t="b">
        <f t="shared" si="25"/>
        <v>0</v>
      </c>
      <c r="K350" s="192" t="str">
        <f>IFERROR(__xludf.DUMMYFUNCTION("regexreplace(G350, ""_"", """")"),"screenneuroexamsedate")</f>
        <v>screenneuroexamsedate</v>
      </c>
      <c r="L3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""$1$2"")"),"pre__neuro_exam_sedate")</f>
        <v>pre__neuro_exam_sedate</v>
      </c>
      <c r="M350" s="193"/>
      <c r="N350" s="151"/>
      <c r="O350" s="193"/>
      <c r="P350" s="151" t="s">
        <v>1234</v>
      </c>
      <c r="Q350" s="151" t="s">
        <v>1235</v>
      </c>
      <c r="R350" s="193"/>
      <c r="S350" s="193"/>
      <c r="T350" s="193"/>
      <c r="U350" s="193"/>
      <c r="V350" s="193"/>
      <c r="W350" s="193"/>
      <c r="X350" s="193"/>
      <c r="Y350" s="193"/>
      <c r="Z350" s="193"/>
    </row>
    <row r="351">
      <c r="A351" s="189"/>
      <c r="B351" s="189" t="s">
        <v>1150</v>
      </c>
      <c r="C351" s="203" t="s">
        <v>1236</v>
      </c>
      <c r="D351" s="154" t="s">
        <v>40</v>
      </c>
      <c r="E351" s="151" t="s">
        <v>1237</v>
      </c>
      <c r="F351" s="123">
        <f t="shared" si="1"/>
        <v>2</v>
      </c>
      <c r="G351" s="121" t="s">
        <v>7603</v>
      </c>
      <c r="H351" s="49"/>
      <c r="I351" s="192" t="str">
        <f>IFERROR(__xludf.DUMMYFUNCTION("regexreplace(lower(C351), ""_"", """")"),"preneuroexamseizure")</f>
        <v>preneuroexamseizure</v>
      </c>
      <c r="J351" s="192" t="b">
        <f t="shared" si="25"/>
        <v>0</v>
      </c>
      <c r="K351" s="192" t="str">
        <f>IFERROR(__xludf.DUMMYFUNCTION("regexreplace(G351, ""_"", """")"),"screenseizure")</f>
        <v>screenseizure</v>
      </c>
      <c r="L3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""$1$2"")"),"pre__neuro_exam_seizure")</f>
        <v>pre__neuro_exam_seizure</v>
      </c>
      <c r="M351" s="193"/>
      <c r="N351" s="281" t="s">
        <v>7604</v>
      </c>
      <c r="O351" s="193"/>
      <c r="P351" s="151" t="s">
        <v>1239</v>
      </c>
      <c r="Q351" s="151" t="s">
        <v>1240</v>
      </c>
      <c r="R351" s="193"/>
      <c r="S351" s="193"/>
      <c r="T351" s="193"/>
      <c r="U351" s="193"/>
      <c r="V351" s="193"/>
      <c r="W351" s="193"/>
      <c r="X351" s="193"/>
      <c r="Y351" s="193"/>
      <c r="Z351" s="193"/>
    </row>
    <row r="352">
      <c r="A352" s="33"/>
      <c r="B352" s="33"/>
      <c r="C352" s="12"/>
      <c r="D352" s="12"/>
      <c r="E352" s="15"/>
      <c r="F352" s="123">
        <f t="shared" si="1"/>
        <v>0</v>
      </c>
      <c r="G352" s="12"/>
      <c r="H352" s="12"/>
      <c r="I352" s="12"/>
      <c r="J352" s="12"/>
      <c r="K352" s="12"/>
      <c r="L352" s="12"/>
      <c r="N352" s="15"/>
      <c r="P352" s="15"/>
      <c r="Q352" s="15"/>
      <c r="R352" s="88"/>
      <c r="S352" s="88"/>
    </row>
    <row r="353">
      <c r="A353" s="33" t="s">
        <v>1241</v>
      </c>
      <c r="B353" s="33" t="s">
        <v>7605</v>
      </c>
      <c r="C353" s="61" t="s">
        <v>7606</v>
      </c>
      <c r="D353" s="61" t="s">
        <v>26</v>
      </c>
      <c r="F353" s="123">
        <f t="shared" si="1"/>
        <v>0</v>
      </c>
      <c r="P353" s="15"/>
      <c r="Q353" s="15"/>
      <c r="R353" s="88"/>
      <c r="S353" s="88"/>
    </row>
    <row r="354">
      <c r="A354" s="33"/>
      <c r="B354" s="33" t="s">
        <v>7605</v>
      </c>
      <c r="C354" s="154" t="s">
        <v>7607</v>
      </c>
      <c r="D354" s="12" t="s">
        <v>145</v>
      </c>
      <c r="E354" s="15"/>
      <c r="F354" s="123">
        <f t="shared" si="1"/>
        <v>1</v>
      </c>
      <c r="G354" s="12"/>
      <c r="H354" s="12"/>
      <c r="I354" s="12"/>
      <c r="J354" s="12"/>
      <c r="K354" s="12"/>
      <c r="L354" s="12"/>
      <c r="O354" s="282" t="s">
        <v>7608</v>
      </c>
      <c r="P354" s="15"/>
      <c r="Q354" s="15"/>
      <c r="R354" s="88"/>
      <c r="S354" s="88"/>
    </row>
    <row r="355">
      <c r="A355" s="33"/>
      <c r="B355" s="33"/>
      <c r="C355" s="12"/>
      <c r="D355" s="12"/>
      <c r="E355" s="15"/>
      <c r="F355" s="123">
        <f t="shared" si="1"/>
        <v>0</v>
      </c>
      <c r="G355" s="12"/>
      <c r="H355" s="12"/>
      <c r="I355" s="12"/>
      <c r="J355" s="12"/>
      <c r="K355" s="12"/>
      <c r="L355" s="12"/>
      <c r="N355" s="15"/>
      <c r="P355" s="15"/>
      <c r="Q355" s="15"/>
      <c r="R355" s="88"/>
      <c r="S355" s="88"/>
    </row>
    <row r="356">
      <c r="A356" s="33" t="s">
        <v>1241</v>
      </c>
      <c r="B356" s="33" t="s">
        <v>703</v>
      </c>
      <c r="C356" s="39" t="s">
        <v>1242</v>
      </c>
      <c r="D356" s="39" t="s">
        <v>31</v>
      </c>
      <c r="E356" s="13" t="s">
        <v>1243</v>
      </c>
      <c r="F356" s="123">
        <f t="shared" si="1"/>
        <v>2</v>
      </c>
      <c r="G356" s="121" t="s">
        <v>7609</v>
      </c>
      <c r="H356" s="39"/>
      <c r="I356" s="192" t="str">
        <f>IFERROR(__xludf.DUMMYFUNCTION("regexreplace(lower(C356), ""_"", """")"),"temperaturetimeslot")</f>
        <v>temperaturetimeslot</v>
      </c>
      <c r="J356" s="192" t="b">
        <f t="shared" ref="J356:J366" si="26">exact(I356, K356)</f>
        <v>0</v>
      </c>
      <c r="K356" s="192" t="str">
        <f>IFERROR(__xludf.DUMMYFUNCTION("regexreplace(G356, ""_"", """")"),"temperatureinterval")</f>
        <v>temperatureinterval</v>
      </c>
      <c r="L3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""$1$2"")"),"temperature_time_slot")</f>
        <v>temperature_time_slot</v>
      </c>
      <c r="N356" s="151"/>
      <c r="P356" s="151" t="s">
        <v>1245</v>
      </c>
      <c r="Q356" s="151" t="s">
        <v>1246</v>
      </c>
      <c r="R356" s="207"/>
      <c r="S356" s="207"/>
    </row>
    <row r="357">
      <c r="A357" s="33"/>
      <c r="B357" s="33" t="s">
        <v>703</v>
      </c>
      <c r="C357" s="39" t="s">
        <v>1247</v>
      </c>
      <c r="D357" s="39" t="s">
        <v>40</v>
      </c>
      <c r="E357" s="13" t="s">
        <v>1248</v>
      </c>
      <c r="F357" s="123">
        <f t="shared" si="1"/>
        <v>1</v>
      </c>
      <c r="G357" s="121" t="s">
        <v>7610</v>
      </c>
      <c r="H357" s="39"/>
      <c r="I357" s="192" t="str">
        <f>IFERROR(__xludf.DUMMYFUNCTION("regexreplace(lower(C357), ""_"", """")"),"temperaturetimeslotnoform")</f>
        <v>temperaturetimeslotnoform</v>
      </c>
      <c r="J357" s="192" t="b">
        <f t="shared" si="26"/>
        <v>0</v>
      </c>
      <c r="K357" s="192" t="str">
        <f>IFERROR(__xludf.DUMMYFUNCTION("regexreplace(G357, ""_"", """")"),"temperatureintervalnoform")</f>
        <v>temperatureintervalnoform</v>
      </c>
      <c r="L3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""$1$2"")"),"temperature_time_slot_no_form")</f>
        <v>temperature_time_slot_no_form</v>
      </c>
      <c r="N357" s="199"/>
      <c r="P357" s="199"/>
      <c r="Q357" s="151" t="s">
        <v>1250</v>
      </c>
      <c r="R357" s="207"/>
      <c r="S357" s="207"/>
    </row>
    <row r="358">
      <c r="A358" s="33"/>
      <c r="B358" s="33" t="s">
        <v>703</v>
      </c>
      <c r="C358" s="12" t="s">
        <v>1251</v>
      </c>
      <c r="D358" s="12" t="s">
        <v>26</v>
      </c>
      <c r="E358" s="13" t="s">
        <v>1252</v>
      </c>
      <c r="F358" s="123">
        <f t="shared" si="1"/>
        <v>2</v>
      </c>
      <c r="G358" s="121" t="s">
        <v>1253</v>
      </c>
      <c r="I358" s="192" t="str">
        <f>IFERROR(__xludf.DUMMYFUNCTION("regexreplace(lower(C358), ""_"", """")"),"temperaturedate")</f>
        <v>temperaturedate</v>
      </c>
      <c r="J358" s="192" t="b">
        <f t="shared" si="26"/>
        <v>1</v>
      </c>
      <c r="K358" s="192" t="str">
        <f>IFERROR(__xludf.DUMMYFUNCTION("regexreplace(G358, ""_"", """")"),"temperaturedate")</f>
        <v>temperaturedate</v>
      </c>
      <c r="L3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""$1$2"")"),"temperature_date")</f>
        <v>temperature_date</v>
      </c>
      <c r="N358" s="194" t="s">
        <v>7416</v>
      </c>
      <c r="P358" s="151" t="s">
        <v>1254</v>
      </c>
      <c r="Q358" s="151" t="s">
        <v>1255</v>
      </c>
      <c r="R358" s="207"/>
      <c r="S358" s="207"/>
    </row>
    <row r="359">
      <c r="A359" s="33"/>
      <c r="B359" s="33" t="s">
        <v>703</v>
      </c>
      <c r="C359" s="12" t="s">
        <v>1256</v>
      </c>
      <c r="D359" s="12" t="s">
        <v>145</v>
      </c>
      <c r="E359" s="13" t="s">
        <v>1257</v>
      </c>
      <c r="F359" s="123">
        <f t="shared" si="1"/>
        <v>3</v>
      </c>
      <c r="G359" s="121" t="s">
        <v>1258</v>
      </c>
      <c r="H359" s="12" t="s">
        <v>7611</v>
      </c>
      <c r="I359" s="192" t="str">
        <f>IFERROR(__xludf.DUMMYFUNCTION("regexreplace(lower(C359), ""_"", """")"),"temperaturetime")</f>
        <v>temperaturetime</v>
      </c>
      <c r="J359" s="192" t="b">
        <f t="shared" si="26"/>
        <v>1</v>
      </c>
      <c r="K359" s="192" t="str">
        <f>IFERROR(__xludf.DUMMYFUNCTION("regexreplace(G359, ""_"", """")"),"temperaturetime")</f>
        <v>temperaturetime</v>
      </c>
      <c r="L3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""$1$2"")"),"temperature_time")</f>
        <v>temperature_time</v>
      </c>
      <c r="N359" s="151"/>
      <c r="O359" s="246" t="s">
        <v>7612</v>
      </c>
      <c r="P359" s="151" t="s">
        <v>1259</v>
      </c>
      <c r="Q359" s="151" t="s">
        <v>1260</v>
      </c>
      <c r="R359" s="207"/>
      <c r="S359" s="207"/>
    </row>
    <row r="360">
      <c r="A360" s="33"/>
      <c r="B360" s="33" t="s">
        <v>703</v>
      </c>
      <c r="C360" s="12" t="s">
        <v>1261</v>
      </c>
      <c r="D360" s="12" t="s">
        <v>483</v>
      </c>
      <c r="E360" s="15" t="s">
        <v>1262</v>
      </c>
      <c r="F360" s="123">
        <f t="shared" si="1"/>
        <v>2</v>
      </c>
      <c r="G360" s="121" t="s">
        <v>7613</v>
      </c>
      <c r="H360" s="12"/>
      <c r="I360" s="192" t="str">
        <f>IFERROR(__xludf.DUMMYFUNCTION("regexreplace(lower(C360), ""_"", """")"),"skintemperaturec")</f>
        <v>skintemperaturec</v>
      </c>
      <c r="J360" s="192" t="b">
        <f t="shared" si="26"/>
        <v>0</v>
      </c>
      <c r="K360" s="192" t="str">
        <f>IFERROR(__xludf.DUMMYFUNCTION("regexreplace(G360, ""_"", """")"),"skintemperature")</f>
        <v>skintemperature</v>
      </c>
      <c r="L3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""$1$2"")"),"skin_temperature__c")</f>
        <v>skin_temperature__c</v>
      </c>
      <c r="N360" s="151" t="s">
        <v>7444</v>
      </c>
      <c r="P360" s="151" t="s">
        <v>1264</v>
      </c>
      <c r="Q360" s="151" t="s">
        <v>1265</v>
      </c>
      <c r="R360" s="207"/>
      <c r="S360" s="207"/>
    </row>
    <row r="361">
      <c r="A361" s="33"/>
      <c r="B361" s="33" t="s">
        <v>703</v>
      </c>
      <c r="C361" s="12" t="s">
        <v>1266</v>
      </c>
      <c r="D361" s="12" t="s">
        <v>483</v>
      </c>
      <c r="E361" s="15" t="s">
        <v>1267</v>
      </c>
      <c r="F361" s="123">
        <f t="shared" si="1"/>
        <v>2</v>
      </c>
      <c r="G361" s="121" t="s">
        <v>7614</v>
      </c>
      <c r="H361" s="12"/>
      <c r="I361" s="192" t="str">
        <f>IFERROR(__xludf.DUMMYFUNCTION("regexreplace(lower(C361), ""_"", """")"),"axillarytemperaturec")</f>
        <v>axillarytemperaturec</v>
      </c>
      <c r="J361" s="192" t="b">
        <f t="shared" si="26"/>
        <v>0</v>
      </c>
      <c r="K361" s="192" t="str">
        <f>IFERROR(__xludf.DUMMYFUNCTION("regexreplace(G361, ""_"", """")"),"axillarytemperature")</f>
        <v>axillarytemperature</v>
      </c>
      <c r="L3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""$1$2"")"),"axillary_temperature__c")</f>
        <v>axillary_temperature__c</v>
      </c>
      <c r="N361" s="151" t="s">
        <v>7444</v>
      </c>
      <c r="P361" s="151" t="s">
        <v>1269</v>
      </c>
      <c r="Q361" s="151" t="s">
        <v>1270</v>
      </c>
      <c r="R361" s="207"/>
      <c r="S361" s="207"/>
    </row>
    <row r="362">
      <c r="A362" s="33"/>
      <c r="B362" s="33" t="s">
        <v>703</v>
      </c>
      <c r="C362" s="12" t="s">
        <v>1271</v>
      </c>
      <c r="D362" s="12" t="s">
        <v>483</v>
      </c>
      <c r="E362" s="15" t="s">
        <v>1272</v>
      </c>
      <c r="F362" s="123">
        <f t="shared" si="1"/>
        <v>2</v>
      </c>
      <c r="G362" s="121" t="s">
        <v>7615</v>
      </c>
      <c r="H362" s="12"/>
      <c r="I362" s="192" t="str">
        <f>IFERROR(__xludf.DUMMYFUNCTION("regexreplace(lower(C362), ""_"", """")"),"esophagealtemperaturec")</f>
        <v>esophagealtemperaturec</v>
      </c>
      <c r="J362" s="192" t="b">
        <f t="shared" si="26"/>
        <v>0</v>
      </c>
      <c r="K362" s="192" t="str">
        <f>IFERROR(__xludf.DUMMYFUNCTION("regexreplace(G362, ""_"", """")"),"esophagealtemperature")</f>
        <v>esophagealtemperature</v>
      </c>
      <c r="L3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""$1$2"")"),"esophageal_temperature__c")</f>
        <v>esophageal_temperature__c</v>
      </c>
      <c r="N362" s="151" t="s">
        <v>7444</v>
      </c>
      <c r="P362" s="151" t="s">
        <v>1274</v>
      </c>
      <c r="Q362" s="151" t="s">
        <v>1275</v>
      </c>
      <c r="R362" s="207"/>
      <c r="S362" s="207"/>
    </row>
    <row r="363">
      <c r="A363" s="33"/>
      <c r="B363" s="33" t="s">
        <v>703</v>
      </c>
      <c r="C363" s="12" t="s">
        <v>1276</v>
      </c>
      <c r="D363" s="12" t="s">
        <v>483</v>
      </c>
      <c r="E363" s="15" t="s">
        <v>1277</v>
      </c>
      <c r="F363" s="123">
        <f t="shared" si="1"/>
        <v>2</v>
      </c>
      <c r="G363" s="121" t="s">
        <v>7616</v>
      </c>
      <c r="H363" s="12"/>
      <c r="I363" s="192" t="str">
        <f>IFERROR(__xludf.DUMMYFUNCTION("regexreplace(lower(C363), ""_"", """")"),"blankettemperaturec")</f>
        <v>blankettemperaturec</v>
      </c>
      <c r="J363" s="192" t="b">
        <f t="shared" si="26"/>
        <v>0</v>
      </c>
      <c r="K363" s="192" t="str">
        <f>IFERROR(__xludf.DUMMYFUNCTION("regexreplace(G363, ""_"", """")"),"blankettemperature")</f>
        <v>blankettemperature</v>
      </c>
      <c r="L3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""$1$2"")"),"blanket_temperature__c")</f>
        <v>blanket_temperature__c</v>
      </c>
      <c r="N363" s="151"/>
      <c r="P363" s="151" t="s">
        <v>1279</v>
      </c>
      <c r="Q363" s="151" t="s">
        <v>1280</v>
      </c>
      <c r="R363" s="207"/>
      <c r="S363" s="207"/>
    </row>
    <row r="364">
      <c r="A364" s="33"/>
      <c r="B364" s="33" t="s">
        <v>703</v>
      </c>
      <c r="C364" s="12" t="s">
        <v>1281</v>
      </c>
      <c r="D364" s="12" t="s">
        <v>483</v>
      </c>
      <c r="E364" s="15" t="s">
        <v>1282</v>
      </c>
      <c r="F364" s="123">
        <f t="shared" si="1"/>
        <v>2</v>
      </c>
      <c r="G364" s="121" t="s">
        <v>7617</v>
      </c>
      <c r="H364" s="12"/>
      <c r="I364" s="192" t="str">
        <f>IFERROR(__xludf.DUMMYFUNCTION("regexreplace(lower(C364), ""_"", """")"),"servosettemperaturec")</f>
        <v>servosettemperaturec</v>
      </c>
      <c r="J364" s="192" t="b">
        <f t="shared" si="26"/>
        <v>0</v>
      </c>
      <c r="K364" s="192" t="str">
        <f>IFERROR(__xludf.DUMMYFUNCTION("regexreplace(G364, ""_"", """")"),"servosettemperature")</f>
        <v>servosettemperature</v>
      </c>
      <c r="L3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""$1$2"")"),"servo_set_temperature__c")</f>
        <v>servo_set_temperature__c</v>
      </c>
      <c r="N364" s="151"/>
      <c r="P364" s="151" t="s">
        <v>1284</v>
      </c>
      <c r="Q364" s="151" t="s">
        <v>1285</v>
      </c>
      <c r="R364" s="207"/>
      <c r="S364" s="207"/>
    </row>
    <row r="365">
      <c r="A365" s="33"/>
      <c r="B365" s="33" t="s">
        <v>703</v>
      </c>
      <c r="C365" s="12" t="s">
        <v>1286</v>
      </c>
      <c r="D365" s="12" t="s">
        <v>40</v>
      </c>
      <c r="E365" s="13" t="s">
        <v>1287</v>
      </c>
      <c r="F365" s="123">
        <f t="shared" si="1"/>
        <v>1</v>
      </c>
      <c r="G365" s="121" t="s">
        <v>1288</v>
      </c>
      <c r="H365" s="12"/>
      <c r="I365" s="192" t="str">
        <f>IFERROR(__xludf.DUMMYFUNCTION("regexreplace(lower(C365), ""_"", """")"),"alterationskinintegrity")</f>
        <v>alterationskinintegrity</v>
      </c>
      <c r="J365" s="192" t="b">
        <f t="shared" si="26"/>
        <v>1</v>
      </c>
      <c r="K365" s="192" t="str">
        <f>IFERROR(__xludf.DUMMYFUNCTION("regexreplace(G365, ""_"", """")"),"alterationskinintegrity")</f>
        <v>alterationskinintegrity</v>
      </c>
      <c r="L3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""$1$2"")"),"alteration_skin_integrity")</f>
        <v>alteration_skin_integrity</v>
      </c>
      <c r="N365" s="199"/>
      <c r="P365" s="199"/>
      <c r="Q365" s="151" t="s">
        <v>1289</v>
      </c>
      <c r="R365" s="207"/>
      <c r="S365" s="207"/>
    </row>
    <row r="366">
      <c r="A366" s="33"/>
      <c r="B366" s="33" t="s">
        <v>703</v>
      </c>
      <c r="C366" s="12" t="s">
        <v>1290</v>
      </c>
      <c r="D366" s="12" t="s">
        <v>40</v>
      </c>
      <c r="E366" s="13" t="s">
        <v>1291</v>
      </c>
      <c r="F366" s="123">
        <f t="shared" si="1"/>
        <v>1</v>
      </c>
      <c r="G366" s="121" t="s">
        <v>1290</v>
      </c>
      <c r="H366" s="12"/>
      <c r="I366" s="192" t="str">
        <f>IFERROR(__xludf.DUMMYFUNCTION("regexreplace(lower(C366), ""_"", """")"),"shiver")</f>
        <v>shiver</v>
      </c>
      <c r="J366" s="192" t="b">
        <f t="shared" si="26"/>
        <v>1</v>
      </c>
      <c r="K366" s="192" t="str">
        <f>IFERROR(__xludf.DUMMYFUNCTION("regexreplace(G366, ""_"", """")"),"shiver")</f>
        <v>shiver</v>
      </c>
      <c r="L3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""$1$2"")"),"shiver")</f>
        <v>shiver</v>
      </c>
      <c r="N366" s="199"/>
      <c r="P366" s="199"/>
      <c r="Q366" s="151" t="s">
        <v>1292</v>
      </c>
      <c r="R366" s="207"/>
      <c r="S366" s="207"/>
    </row>
    <row r="367">
      <c r="A367" s="33"/>
      <c r="B367" s="33" t="s">
        <v>703</v>
      </c>
      <c r="C367" s="12" t="s">
        <v>7618</v>
      </c>
      <c r="D367" s="39" t="s">
        <v>483</v>
      </c>
      <c r="E367" s="15"/>
      <c r="F367" s="123">
        <f t="shared" si="1"/>
        <v>1</v>
      </c>
      <c r="G367" s="12"/>
      <c r="H367" s="12" t="s">
        <v>7619</v>
      </c>
      <c r="I367" s="12"/>
      <c r="J367" s="12"/>
      <c r="K367" s="12"/>
      <c r="L367" s="12"/>
      <c r="N367" s="15"/>
      <c r="O367" s="61" t="s">
        <v>7620</v>
      </c>
      <c r="P367" s="15"/>
      <c r="Q367" s="15"/>
      <c r="R367" s="88"/>
      <c r="S367" s="88"/>
    </row>
    <row r="368">
      <c r="A368" s="33"/>
      <c r="B368" s="33" t="s">
        <v>703</v>
      </c>
      <c r="C368" s="12" t="s">
        <v>7621</v>
      </c>
      <c r="D368" s="39"/>
      <c r="E368" s="15"/>
      <c r="F368" s="123">
        <f t="shared" si="1"/>
        <v>1</v>
      </c>
      <c r="G368" s="12"/>
      <c r="H368" s="12"/>
      <c r="I368" s="12"/>
      <c r="J368" s="12"/>
      <c r="K368" s="12"/>
      <c r="L368" s="12"/>
      <c r="N368" s="15"/>
      <c r="O368" s="61" t="s">
        <v>7622</v>
      </c>
      <c r="P368" s="15"/>
      <c r="Q368" s="15"/>
      <c r="R368" s="88"/>
      <c r="S368" s="88"/>
    </row>
    <row r="369">
      <c r="A369" s="33"/>
      <c r="C369" s="12" t="s">
        <v>7623</v>
      </c>
      <c r="D369" s="39"/>
      <c r="E369" s="15"/>
      <c r="F369" s="123">
        <f t="shared" si="1"/>
        <v>1</v>
      </c>
      <c r="G369" s="12"/>
      <c r="H369" s="12"/>
      <c r="I369" s="12"/>
      <c r="J369" s="12"/>
      <c r="K369" s="12"/>
      <c r="L369" s="12"/>
      <c r="N369" s="15"/>
      <c r="O369" s="61" t="s">
        <v>7624</v>
      </c>
      <c r="P369" s="15"/>
      <c r="Q369" s="15"/>
      <c r="R369" s="88"/>
      <c r="S369" s="88"/>
    </row>
    <row r="370">
      <c r="A370" s="33"/>
      <c r="B370" s="33"/>
      <c r="C370" s="12"/>
      <c r="D370" s="39"/>
      <c r="E370" s="15"/>
      <c r="F370" s="123">
        <f t="shared" si="1"/>
        <v>0</v>
      </c>
      <c r="G370" s="12"/>
      <c r="H370" s="12"/>
      <c r="I370" s="12"/>
      <c r="J370" s="12"/>
      <c r="K370" s="12"/>
      <c r="L370" s="12"/>
      <c r="N370" s="15"/>
      <c r="P370" s="15"/>
      <c r="Q370" s="15"/>
      <c r="R370" s="88"/>
      <c r="S370" s="88"/>
    </row>
    <row r="371">
      <c r="A371" s="33" t="s">
        <v>1241</v>
      </c>
      <c r="B371" s="33" t="s">
        <v>795</v>
      </c>
      <c r="C371" s="12" t="s">
        <v>1293</v>
      </c>
      <c r="D371" s="12" t="s">
        <v>31</v>
      </c>
      <c r="E371" s="15" t="s">
        <v>1294</v>
      </c>
      <c r="F371" s="123">
        <f t="shared" si="1"/>
        <v>2</v>
      </c>
      <c r="G371" s="121" t="s">
        <v>7625</v>
      </c>
      <c r="H371" s="12"/>
      <c r="I371" s="192" t="str">
        <f>IFERROR(__xludf.DUMMYFUNCTION("regexreplace(lower(C371), ""_"", """")"),"cardiotimeslot")</f>
        <v>cardiotimeslot</v>
      </c>
      <c r="J371" s="192" t="b">
        <f t="shared" ref="J371:J384" si="27">exact(I371, K371)</f>
        <v>0</v>
      </c>
      <c r="K371" s="192" t="str">
        <f>IFERROR(__xludf.DUMMYFUNCTION("regexreplace(G371, ""_"", """")"),"cardiointerval")</f>
        <v>cardiointerval</v>
      </c>
      <c r="L3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""$1$2"")"),"cardio_time_slot")</f>
        <v>cardio_time_slot</v>
      </c>
      <c r="N371" s="151"/>
      <c r="P371" s="151" t="s">
        <v>1296</v>
      </c>
      <c r="Q371" s="151" t="s">
        <v>1297</v>
      </c>
      <c r="R371" s="207"/>
      <c r="S371" s="207"/>
    </row>
    <row r="372">
      <c r="A372" s="33"/>
      <c r="B372" s="33" t="s">
        <v>795</v>
      </c>
      <c r="C372" s="12" t="s">
        <v>1298</v>
      </c>
      <c r="D372" s="12" t="s">
        <v>26</v>
      </c>
      <c r="E372" s="15" t="s">
        <v>797</v>
      </c>
      <c r="F372" s="123">
        <f t="shared" si="1"/>
        <v>3</v>
      </c>
      <c r="G372" s="121" t="s">
        <v>1299</v>
      </c>
      <c r="H372" s="12"/>
      <c r="I372" s="192" t="str">
        <f>IFERROR(__xludf.DUMMYFUNCTION("regexreplace(lower(C372), ""_"", """")"),"cardiodate")</f>
        <v>cardiodate</v>
      </c>
      <c r="J372" s="192" t="b">
        <f t="shared" si="27"/>
        <v>1</v>
      </c>
      <c r="K372" s="192" t="str">
        <f>IFERROR(__xludf.DUMMYFUNCTION("regexreplace(G372, ""_"", """")"),"cardiodate")</f>
        <v>cardiodate</v>
      </c>
      <c r="L3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""$1$2"")"),"cardio_date")</f>
        <v>cardio_date</v>
      </c>
      <c r="N372" s="194" t="s">
        <v>7416</v>
      </c>
      <c r="O372" s="61" t="s">
        <v>7626</v>
      </c>
      <c r="P372" s="151" t="s">
        <v>1300</v>
      </c>
      <c r="Q372" s="151" t="s">
        <v>1301</v>
      </c>
      <c r="R372" s="207"/>
      <c r="S372" s="207"/>
    </row>
    <row r="373">
      <c r="A373" s="33"/>
      <c r="B373" s="33" t="s">
        <v>795</v>
      </c>
      <c r="C373" s="12" t="s">
        <v>1302</v>
      </c>
      <c r="D373" s="12" t="s">
        <v>145</v>
      </c>
      <c r="E373" s="15" t="s">
        <v>801</v>
      </c>
      <c r="F373" s="123">
        <f t="shared" si="1"/>
        <v>2</v>
      </c>
      <c r="G373" s="121" t="s">
        <v>1303</v>
      </c>
      <c r="H373" s="12"/>
      <c r="I373" s="192" t="str">
        <f>IFERROR(__xludf.DUMMYFUNCTION("regexreplace(lower(C373), ""_"", """")"),"cardiotime")</f>
        <v>cardiotime</v>
      </c>
      <c r="J373" s="192" t="b">
        <f t="shared" si="27"/>
        <v>1</v>
      </c>
      <c r="K373" s="192" t="str">
        <f>IFERROR(__xludf.DUMMYFUNCTION("regexreplace(G373, ""_"", """")"),"cardiotime")</f>
        <v>cardiotime</v>
      </c>
      <c r="L3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""$1$2"")"),"cardio_time")</f>
        <v>cardio_time</v>
      </c>
      <c r="N373" s="151"/>
      <c r="P373" s="151" t="s">
        <v>1304</v>
      </c>
      <c r="Q373" s="151" t="s">
        <v>1305</v>
      </c>
      <c r="R373" s="207"/>
      <c r="S373" s="207"/>
    </row>
    <row r="374">
      <c r="A374" s="33"/>
      <c r="B374" s="33" t="s">
        <v>795</v>
      </c>
      <c r="C374" s="12" t="s">
        <v>1306</v>
      </c>
      <c r="D374" s="12" t="s">
        <v>483</v>
      </c>
      <c r="E374" s="15" t="s">
        <v>804</v>
      </c>
      <c r="F374" s="123">
        <f t="shared" si="1"/>
        <v>2</v>
      </c>
      <c r="G374" s="121" t="s">
        <v>7627</v>
      </c>
      <c r="H374" s="12"/>
      <c r="I374" s="192" t="str">
        <f>IFERROR(__xludf.DUMMYFUNCTION("regexreplace(lower(C374), ""_"", """")"),"cardiosystolicbloodpressuremmhg")</f>
        <v>cardiosystolicbloodpressuremmhg</v>
      </c>
      <c r="J374" s="192" t="b">
        <f t="shared" si="27"/>
        <v>0</v>
      </c>
      <c r="K374" s="192" t="str">
        <f>IFERROR(__xludf.DUMMYFUNCTION("regexreplace(G374, ""_"", """")"),"cardiosystolicbloodpressure")</f>
        <v>cardiosystolicbloodpressure</v>
      </c>
      <c r="L3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""$1$2"")"),"cardio_systolic_blood_pressure__mmhg")</f>
        <v>cardio_systolic_blood_pressure__mmhg</v>
      </c>
      <c r="N374" s="194" t="s">
        <v>7457</v>
      </c>
      <c r="P374" s="151" t="s">
        <v>1308</v>
      </c>
      <c r="Q374" s="151" t="s">
        <v>1309</v>
      </c>
      <c r="R374" s="207"/>
      <c r="S374" s="207"/>
    </row>
    <row r="375">
      <c r="A375" s="33"/>
      <c r="B375" s="33" t="s">
        <v>795</v>
      </c>
      <c r="C375" s="12" t="s">
        <v>1310</v>
      </c>
      <c r="D375" s="12" t="s">
        <v>483</v>
      </c>
      <c r="E375" s="15" t="s">
        <v>807</v>
      </c>
      <c r="F375" s="123">
        <f t="shared" si="1"/>
        <v>2</v>
      </c>
      <c r="G375" s="121" t="s">
        <v>7628</v>
      </c>
      <c r="H375" s="12"/>
      <c r="I375" s="192" t="str">
        <f>IFERROR(__xludf.DUMMYFUNCTION("regexreplace(lower(C375), ""_"", """")"),"cardiodiastolicbloodpressuremmhg")</f>
        <v>cardiodiastolicbloodpressuremmhg</v>
      </c>
      <c r="J375" s="192" t="b">
        <f t="shared" si="27"/>
        <v>0</v>
      </c>
      <c r="K375" s="192" t="str">
        <f>IFERROR(__xludf.DUMMYFUNCTION("regexreplace(G375, ""_"", """")"),"cardiodiastolicbloodpressure")</f>
        <v>cardiodiastolicbloodpressure</v>
      </c>
      <c r="L3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""$1$2"")"),"cardio_diastolic_blood_pressure__mmhg")</f>
        <v>cardio_diastolic_blood_pressure__mmhg</v>
      </c>
      <c r="N375" s="194" t="s">
        <v>7459</v>
      </c>
      <c r="P375" s="151" t="s">
        <v>1312</v>
      </c>
      <c r="Q375" s="151" t="s">
        <v>1313</v>
      </c>
      <c r="R375" s="207"/>
      <c r="S375" s="207"/>
    </row>
    <row r="376">
      <c r="A376" s="33"/>
      <c r="B376" s="33" t="s">
        <v>795</v>
      </c>
      <c r="C376" s="12" t="s">
        <v>1314</v>
      </c>
      <c r="D376" s="12" t="s">
        <v>483</v>
      </c>
      <c r="E376" s="15" t="s">
        <v>810</v>
      </c>
      <c r="F376" s="123">
        <f t="shared" si="1"/>
        <v>2</v>
      </c>
      <c r="G376" s="121" t="s">
        <v>7629</v>
      </c>
      <c r="H376" s="12"/>
      <c r="I376" s="192" t="str">
        <f>IFERROR(__xludf.DUMMYFUNCTION("regexreplace(lower(C376), ""_"", """")"),"cardioheartratebpm")</f>
        <v>cardioheartratebpm</v>
      </c>
      <c r="J376" s="192" t="b">
        <f t="shared" si="27"/>
        <v>0</v>
      </c>
      <c r="K376" s="192" t="str">
        <f>IFERROR(__xludf.DUMMYFUNCTION("regexreplace(G376, ""_"", """")"),"cardioheartrate")</f>
        <v>cardioheartrate</v>
      </c>
      <c r="L3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""$1$2"")"),"cardio_heart_rate__b_p_m")</f>
        <v>cardio_heart_rate__b_p_m</v>
      </c>
      <c r="N376" s="194" t="s">
        <v>7461</v>
      </c>
      <c r="P376" s="151" t="s">
        <v>1316</v>
      </c>
      <c r="Q376" s="151" t="s">
        <v>1317</v>
      </c>
      <c r="R376" s="207"/>
      <c r="S376" s="207"/>
    </row>
    <row r="377">
      <c r="A377" s="33"/>
      <c r="B377" s="33" t="s">
        <v>795</v>
      </c>
      <c r="C377" s="12" t="s">
        <v>1318</v>
      </c>
      <c r="D377" s="12" t="s">
        <v>40</v>
      </c>
      <c r="E377" s="15" t="s">
        <v>813</v>
      </c>
      <c r="F377" s="123">
        <f t="shared" si="1"/>
        <v>2</v>
      </c>
      <c r="G377" s="121" t="s">
        <v>1319</v>
      </c>
      <c r="H377" s="12"/>
      <c r="I377" s="192" t="str">
        <f>IFERROR(__xludf.DUMMYFUNCTION("regexreplace(lower(C377), ""_"", """")"),"cardiovolumeexpand")</f>
        <v>cardiovolumeexpand</v>
      </c>
      <c r="J377" s="192" t="b">
        <f t="shared" si="27"/>
        <v>1</v>
      </c>
      <c r="K377" s="192" t="str">
        <f>IFERROR(__xludf.DUMMYFUNCTION("regexreplace(G377, ""_"", """")"),"cardiovolumeexpand")</f>
        <v>cardiovolumeexpand</v>
      </c>
      <c r="L3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""$1$2"")"),"cardio_volume_expand")</f>
        <v>cardio_volume_expand</v>
      </c>
      <c r="N377" s="151"/>
      <c r="P377" s="151" t="s">
        <v>1320</v>
      </c>
      <c r="Q377" s="151" t="s">
        <v>1321</v>
      </c>
      <c r="R377" s="207"/>
      <c r="S377" s="207"/>
    </row>
    <row r="378">
      <c r="A378" s="33"/>
      <c r="B378" s="33" t="s">
        <v>795</v>
      </c>
      <c r="C378" s="12" t="s">
        <v>1322</v>
      </c>
      <c r="D378" s="12" t="s">
        <v>40</v>
      </c>
      <c r="E378" s="15" t="s">
        <v>816</v>
      </c>
      <c r="F378" s="123">
        <f t="shared" si="1"/>
        <v>2</v>
      </c>
      <c r="G378" s="121" t="s">
        <v>1323</v>
      </c>
      <c r="H378" s="12"/>
      <c r="I378" s="192" t="str">
        <f>IFERROR(__xludf.DUMMYFUNCTION("regexreplace(lower(C378), ""_"", """")"),"cardioinotropicagent")</f>
        <v>cardioinotropicagent</v>
      </c>
      <c r="J378" s="192" t="b">
        <f t="shared" si="27"/>
        <v>1</v>
      </c>
      <c r="K378" s="192" t="str">
        <f>IFERROR(__xludf.DUMMYFUNCTION("regexreplace(G378, ""_"", """")"),"cardioinotropicagent")</f>
        <v>cardioinotropicagent</v>
      </c>
      <c r="L3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""$1$2"")"),"cardio_inotropic_agent")</f>
        <v>cardio_inotropic_agent</v>
      </c>
      <c r="N378" s="151"/>
      <c r="P378" s="151" t="s">
        <v>1324</v>
      </c>
      <c r="Q378" s="151" t="s">
        <v>1325</v>
      </c>
      <c r="R378" s="207"/>
      <c r="S378" s="207"/>
    </row>
    <row r="379">
      <c r="A379" s="33"/>
      <c r="B379" s="33" t="s">
        <v>795</v>
      </c>
      <c r="C379" s="12" t="s">
        <v>1326</v>
      </c>
      <c r="D379" s="12" t="s">
        <v>40</v>
      </c>
      <c r="E379" s="15" t="s">
        <v>819</v>
      </c>
      <c r="F379" s="123">
        <f t="shared" si="1"/>
        <v>2</v>
      </c>
      <c r="G379" s="121" t="s">
        <v>1327</v>
      </c>
      <c r="H379" s="12"/>
      <c r="I379" s="192" t="str">
        <f>IFERROR(__xludf.DUMMYFUNCTION("regexreplace(lower(C379), ""_"", """")"),"cardiobloodtransfusion")</f>
        <v>cardiobloodtransfusion</v>
      </c>
      <c r="J379" s="192" t="b">
        <f t="shared" si="27"/>
        <v>1</v>
      </c>
      <c r="K379" s="192" t="str">
        <f>IFERROR(__xludf.DUMMYFUNCTION("regexreplace(G379, ""_"", """")"),"cardiobloodtransfusion")</f>
        <v>cardiobloodtransfusion</v>
      </c>
      <c r="L3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""$1$2"")"),"cardio_blood_transfusion")</f>
        <v>cardio_blood_transfusion</v>
      </c>
      <c r="N379" s="151"/>
      <c r="P379" s="151" t="s">
        <v>1328</v>
      </c>
      <c r="Q379" s="151" t="s">
        <v>1329</v>
      </c>
      <c r="R379" s="207"/>
      <c r="S379" s="207"/>
    </row>
    <row r="380">
      <c r="A380" s="33"/>
      <c r="B380" s="33" t="s">
        <v>795</v>
      </c>
      <c r="C380" s="12" t="s">
        <v>1330</v>
      </c>
      <c r="D380" s="12" t="s">
        <v>40</v>
      </c>
      <c r="E380" s="15" t="s">
        <v>822</v>
      </c>
      <c r="F380" s="123">
        <f t="shared" si="1"/>
        <v>2</v>
      </c>
      <c r="G380" s="121" t="s">
        <v>1331</v>
      </c>
      <c r="H380" s="12"/>
      <c r="I380" s="192" t="str">
        <f>IFERROR(__xludf.DUMMYFUNCTION("regexreplace(lower(C380), ""_"", """")"),"cardioplatelets")</f>
        <v>cardioplatelets</v>
      </c>
      <c r="J380" s="192" t="b">
        <f t="shared" si="27"/>
        <v>1</v>
      </c>
      <c r="K380" s="192" t="str">
        <f>IFERROR(__xludf.DUMMYFUNCTION("regexreplace(G380, ""_"", """")"),"cardioplatelets")</f>
        <v>cardioplatelets</v>
      </c>
      <c r="L3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""$1$2"")"),"cardio_platelets")</f>
        <v>cardio_platelets</v>
      </c>
      <c r="N380" s="151"/>
      <c r="P380" s="151" t="s">
        <v>1332</v>
      </c>
      <c r="Q380" s="151" t="s">
        <v>1333</v>
      </c>
      <c r="R380" s="207"/>
      <c r="S380" s="207"/>
    </row>
    <row r="381">
      <c r="A381" s="45"/>
      <c r="B381" s="46" t="s">
        <v>795</v>
      </c>
      <c r="C381" s="283" t="s">
        <v>7630</v>
      </c>
      <c r="D381" s="46" t="s">
        <v>483</v>
      </c>
      <c r="E381" s="45" t="s">
        <v>804</v>
      </c>
      <c r="F381" s="123">
        <f t="shared" si="1"/>
        <v>1</v>
      </c>
      <c r="G381" s="284" t="s">
        <v>7627</v>
      </c>
      <c r="H381" s="45"/>
      <c r="I381" s="285" t="str">
        <f>IFERROR(__xludf.DUMMYFUNCTION("regexreplace(lower(C381), ""_"", """")"),"cardiosystolicbloodpressureminmmhg")</f>
        <v>cardiosystolicbloodpressureminmmhg</v>
      </c>
      <c r="J381" s="286" t="b">
        <f t="shared" si="27"/>
        <v>0</v>
      </c>
      <c r="K381" s="285" t="str">
        <f>IFERROR(__xludf.DUMMYFUNCTION("regexreplace(G381, ""_"", """")"),"cardiosystolicbloodpressure")</f>
        <v>cardiosystolicbloodpressure</v>
      </c>
      <c r="L381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""$1$2"")"),"cardio_systolic_blood_pressure_min__mmhg")</f>
        <v>cardio_systolic_blood_pressure_min__mmhg</v>
      </c>
      <c r="M381" s="275"/>
      <c r="N381" s="287"/>
      <c r="O381" s="288" t="s">
        <v>7631</v>
      </c>
      <c r="P381" s="287"/>
      <c r="Q381" s="287"/>
      <c r="R381" s="289"/>
      <c r="S381" s="289"/>
      <c r="T381" s="275"/>
      <c r="U381" s="275"/>
      <c r="V381" s="275"/>
      <c r="W381" s="275"/>
      <c r="X381" s="275"/>
      <c r="Y381" s="275"/>
      <c r="Z381" s="275"/>
    </row>
    <row r="382">
      <c r="A382" s="45"/>
      <c r="B382" s="46" t="s">
        <v>795</v>
      </c>
      <c r="C382" s="283" t="s">
        <v>7632</v>
      </c>
      <c r="D382" s="46" t="s">
        <v>483</v>
      </c>
      <c r="E382" s="45" t="s">
        <v>807</v>
      </c>
      <c r="F382" s="123">
        <f t="shared" si="1"/>
        <v>1</v>
      </c>
      <c r="G382" s="284" t="s">
        <v>7628</v>
      </c>
      <c r="H382" s="45"/>
      <c r="I382" s="285" t="str">
        <f>IFERROR(__xludf.DUMMYFUNCTION("regexreplace(lower(C382), ""_"", """")"),"cardiodiastolicbloodpressureminmmhg")</f>
        <v>cardiodiastolicbloodpressureminmmhg</v>
      </c>
      <c r="J382" s="286" t="b">
        <f t="shared" si="27"/>
        <v>0</v>
      </c>
      <c r="K382" s="285" t="str">
        <f>IFERROR(__xludf.DUMMYFUNCTION("regexreplace(G382, ""_"", """")"),"cardiodiastolicbloodpressure")</f>
        <v>cardiodiastolicbloodpressure</v>
      </c>
      <c r="L382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""$1$2"")"),"cardio_diastolic_blood_pressure_min__mmhg")</f>
        <v>cardio_diastolic_blood_pressure_min__mmhg</v>
      </c>
      <c r="M382" s="275"/>
      <c r="N382" s="287"/>
      <c r="O382" s="288" t="s">
        <v>7633</v>
      </c>
      <c r="P382" s="287"/>
      <c r="Q382" s="287"/>
      <c r="R382" s="289"/>
      <c r="S382" s="289"/>
      <c r="T382" s="275"/>
      <c r="U382" s="275"/>
      <c r="V382" s="275"/>
      <c r="W382" s="275"/>
      <c r="X382" s="275"/>
      <c r="Y382" s="275"/>
      <c r="Z382" s="275"/>
    </row>
    <row r="383">
      <c r="A383" s="45"/>
      <c r="B383" s="46" t="s">
        <v>795</v>
      </c>
      <c r="C383" s="283" t="s">
        <v>7634</v>
      </c>
      <c r="D383" s="46" t="s">
        <v>483</v>
      </c>
      <c r="E383" s="45" t="s">
        <v>804</v>
      </c>
      <c r="F383" s="123">
        <f t="shared" si="1"/>
        <v>1</v>
      </c>
      <c r="G383" s="284" t="s">
        <v>7627</v>
      </c>
      <c r="H383" s="45"/>
      <c r="I383" s="285" t="str">
        <f>IFERROR(__xludf.DUMMYFUNCTION("regexreplace(lower(C383), ""_"", """")"),"cardiosystolicbloodpressuremaxmmhg")</f>
        <v>cardiosystolicbloodpressuremaxmmhg</v>
      </c>
      <c r="J383" s="286" t="b">
        <f t="shared" si="27"/>
        <v>0</v>
      </c>
      <c r="K383" s="285" t="str">
        <f>IFERROR(__xludf.DUMMYFUNCTION("regexreplace(G383, ""_"", """")"),"cardiosystolicbloodpressure")</f>
        <v>cardiosystolicbloodpressure</v>
      </c>
      <c r="L383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""$1$2"")"),"cardio_systolic_blood_pressure_max__mmhg")</f>
        <v>cardio_systolic_blood_pressure_max__mmhg</v>
      </c>
      <c r="M383" s="275"/>
      <c r="N383" s="287"/>
      <c r="O383" s="275" t="s">
        <v>7635</v>
      </c>
      <c r="P383" s="287"/>
      <c r="Q383" s="287"/>
      <c r="R383" s="289"/>
      <c r="S383" s="289"/>
      <c r="T383" s="275"/>
      <c r="U383" s="275"/>
      <c r="V383" s="275"/>
      <c r="W383" s="275"/>
      <c r="X383" s="275"/>
      <c r="Y383" s="275"/>
      <c r="Z383" s="275"/>
    </row>
    <row r="384">
      <c r="A384" s="45"/>
      <c r="B384" s="46" t="s">
        <v>795</v>
      </c>
      <c r="C384" s="283" t="s">
        <v>7636</v>
      </c>
      <c r="D384" s="46" t="s">
        <v>483</v>
      </c>
      <c r="E384" s="45" t="s">
        <v>807</v>
      </c>
      <c r="F384" s="123">
        <f t="shared" si="1"/>
        <v>1</v>
      </c>
      <c r="G384" s="284" t="s">
        <v>7628</v>
      </c>
      <c r="H384" s="45"/>
      <c r="I384" s="285" t="str">
        <f>IFERROR(__xludf.DUMMYFUNCTION("regexreplace(lower(C384), ""_"", """")"),"cardiodiastolicbloodpressuremaxmmhg")</f>
        <v>cardiodiastolicbloodpressuremaxmmhg</v>
      </c>
      <c r="J384" s="286" t="b">
        <f t="shared" si="27"/>
        <v>0</v>
      </c>
      <c r="K384" s="285" t="str">
        <f>IFERROR(__xludf.DUMMYFUNCTION("regexreplace(G384, ""_"", """")"),"cardiodiastolicbloodpressure")</f>
        <v>cardiodiastolicbloodpressure</v>
      </c>
      <c r="L384" s="28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""$1$2"")"),"cardio_diastolic_blood_pressure_max__mmhg")</f>
        <v>cardio_diastolic_blood_pressure_max__mmhg</v>
      </c>
      <c r="M384" s="275"/>
      <c r="N384" s="287"/>
      <c r="O384" s="275" t="s">
        <v>7637</v>
      </c>
      <c r="P384" s="287"/>
      <c r="Q384" s="287"/>
      <c r="R384" s="289"/>
      <c r="S384" s="289"/>
      <c r="T384" s="275"/>
      <c r="U384" s="275"/>
      <c r="V384" s="275"/>
      <c r="W384" s="275"/>
      <c r="X384" s="275"/>
      <c r="Y384" s="275"/>
      <c r="Z384" s="275"/>
    </row>
    <row r="385">
      <c r="A385" s="33"/>
      <c r="B385" s="33"/>
      <c r="C385" s="12"/>
      <c r="D385" s="12"/>
      <c r="E385" s="15"/>
      <c r="F385" s="123">
        <f t="shared" si="1"/>
        <v>0</v>
      </c>
      <c r="G385" s="12"/>
      <c r="H385" s="12"/>
      <c r="I385" s="12"/>
      <c r="J385" s="12"/>
      <c r="K385" s="12"/>
      <c r="L385" s="12"/>
      <c r="N385" s="15"/>
      <c r="P385" s="15"/>
      <c r="Q385" s="15"/>
      <c r="R385" s="88"/>
      <c r="S385" s="88"/>
    </row>
    <row r="386">
      <c r="A386" s="33" t="s">
        <v>1241</v>
      </c>
      <c r="B386" s="33" t="s">
        <v>824</v>
      </c>
      <c r="C386" s="12" t="s">
        <v>1334</v>
      </c>
      <c r="D386" s="12" t="s">
        <v>31</v>
      </c>
      <c r="E386" s="15" t="s">
        <v>1335</v>
      </c>
      <c r="F386" s="123">
        <f t="shared" si="1"/>
        <v>2</v>
      </c>
      <c r="G386" s="121" t="s">
        <v>7638</v>
      </c>
      <c r="H386" s="12"/>
      <c r="I386" s="192" t="str">
        <f>IFERROR(__xludf.DUMMYFUNCTION("regexreplace(lower(C386), ""_"", """")"),"respiratorytimeslot")</f>
        <v>respiratorytimeslot</v>
      </c>
      <c r="J386" s="192" t="b">
        <f t="shared" ref="J386:J388" si="28">exact(I386, K386)</f>
        <v>0</v>
      </c>
      <c r="K386" s="192" t="str">
        <f>IFERROR(__xludf.DUMMYFUNCTION("regexreplace(G386, ""_"", """")"),"respiratoryinterval")</f>
        <v>respiratoryinterval</v>
      </c>
      <c r="L3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""$1$2"")"),"respiratory_time_slot")</f>
        <v>respiratory_time_slot</v>
      </c>
      <c r="N386" s="151"/>
      <c r="P386" s="151" t="s">
        <v>1337</v>
      </c>
      <c r="Q386" s="151" t="s">
        <v>1338</v>
      </c>
      <c r="R386" s="207"/>
      <c r="S386" s="207"/>
    </row>
    <row r="387">
      <c r="A387" s="33"/>
      <c r="B387" s="33" t="s">
        <v>824</v>
      </c>
      <c r="C387" s="12" t="s">
        <v>1339</v>
      </c>
      <c r="D387" s="12" t="s">
        <v>26</v>
      </c>
      <c r="E387" s="13" t="s">
        <v>826</v>
      </c>
      <c r="F387" s="123">
        <f t="shared" si="1"/>
        <v>2</v>
      </c>
      <c r="G387" s="121" t="s">
        <v>1340</v>
      </c>
      <c r="H387" s="12"/>
      <c r="I387" s="192" t="str">
        <f>IFERROR(__xludf.DUMMYFUNCTION("regexreplace(lower(C387), ""_"", """")"),"respiratorydate")</f>
        <v>respiratorydate</v>
      </c>
      <c r="J387" s="192" t="b">
        <f t="shared" si="28"/>
        <v>1</v>
      </c>
      <c r="K387" s="192" t="str">
        <f>IFERROR(__xludf.DUMMYFUNCTION("regexreplace(G387, ""_"", """")"),"respiratorydate")</f>
        <v>respiratorydate</v>
      </c>
      <c r="L3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""$1$2"")"),"respiratory_date")</f>
        <v>respiratory_date</v>
      </c>
      <c r="N387" s="194" t="s">
        <v>7416</v>
      </c>
      <c r="P387" s="151" t="s">
        <v>1341</v>
      </c>
      <c r="Q387" s="151" t="s">
        <v>1342</v>
      </c>
      <c r="R387" s="207"/>
      <c r="S387" s="207"/>
    </row>
    <row r="388">
      <c r="A388" s="33"/>
      <c r="B388" s="33" t="s">
        <v>824</v>
      </c>
      <c r="C388" s="12" t="s">
        <v>1343</v>
      </c>
      <c r="D388" s="12" t="s">
        <v>145</v>
      </c>
      <c r="E388" s="13" t="s">
        <v>830</v>
      </c>
      <c r="F388" s="123">
        <f t="shared" si="1"/>
        <v>2</v>
      </c>
      <c r="G388" s="121" t="s">
        <v>1344</v>
      </c>
      <c r="H388" s="12"/>
      <c r="I388" s="192" t="str">
        <f>IFERROR(__xludf.DUMMYFUNCTION("regexreplace(lower(C388), ""_"", """")"),"respiratorytime")</f>
        <v>respiratorytime</v>
      </c>
      <c r="J388" s="192" t="b">
        <f t="shared" si="28"/>
        <v>1</v>
      </c>
      <c r="K388" s="192" t="str">
        <f>IFERROR(__xludf.DUMMYFUNCTION("regexreplace(G388, ""_"", """")"),"respiratorytime")</f>
        <v>respiratorytime</v>
      </c>
      <c r="L3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""$1$2"")"),"respiratory_time")</f>
        <v>respiratory_time</v>
      </c>
      <c r="N388" s="151"/>
      <c r="P388" s="151" t="s">
        <v>1345</v>
      </c>
      <c r="Q388" s="151" t="s">
        <v>1346</v>
      </c>
      <c r="R388" s="207"/>
      <c r="S388" s="207"/>
    </row>
    <row r="389">
      <c r="A389" s="33"/>
      <c r="B389" s="33" t="s">
        <v>824</v>
      </c>
      <c r="C389" s="12" t="s">
        <v>7639</v>
      </c>
      <c r="D389" s="12"/>
      <c r="E389" s="15" t="s">
        <v>7640</v>
      </c>
      <c r="F389" s="123">
        <f t="shared" si="1"/>
        <v>1</v>
      </c>
      <c r="G389" s="121"/>
      <c r="H389" s="12"/>
      <c r="I389" s="192"/>
      <c r="J389" s="192"/>
      <c r="K389" s="192"/>
      <c r="L389" s="121"/>
      <c r="N389" s="194"/>
      <c r="P389" s="151"/>
      <c r="Q389" s="151"/>
      <c r="R389" s="151" t="s">
        <v>7641</v>
      </c>
      <c r="S389" s="207"/>
    </row>
    <row r="390">
      <c r="A390" s="33"/>
      <c r="B390" s="33" t="s">
        <v>824</v>
      </c>
      <c r="C390" s="12" t="s">
        <v>833</v>
      </c>
      <c r="D390" s="12" t="s">
        <v>833</v>
      </c>
      <c r="E390" s="15" t="s">
        <v>834</v>
      </c>
      <c r="F390" s="123">
        <f t="shared" si="1"/>
        <v>2</v>
      </c>
      <c r="G390" s="121" t="s">
        <v>1347</v>
      </c>
      <c r="H390" s="12"/>
      <c r="I390" s="192" t="str">
        <f>IFERROR(__xludf.DUMMYFUNCTION("regexreplace(lower(C390), ""_"", """")"),"respiratorysupporttype")</f>
        <v>respiratorysupporttype</v>
      </c>
      <c r="J390" s="192" t="b">
        <f t="shared" ref="J390:J410" si="29">exact(I390, K390)</f>
        <v>1</v>
      </c>
      <c r="K390" s="192" t="str">
        <f>IFERROR(__xludf.DUMMYFUNCTION("regexreplace(G390, ""_"", """")"),"respiratorysupporttype")</f>
        <v>respiratorysupporttype</v>
      </c>
      <c r="L3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""$1$2"")"),"respiratory_support_type")</f>
        <v>respiratory_support_type</v>
      </c>
      <c r="N390" s="194" t="s">
        <v>7469</v>
      </c>
      <c r="P390" s="151" t="s">
        <v>1348</v>
      </c>
      <c r="Q390" s="151" t="s">
        <v>1349</v>
      </c>
      <c r="R390" s="207"/>
      <c r="S390" s="207"/>
    </row>
    <row r="391">
      <c r="A391" s="33"/>
      <c r="B391" s="33" t="s">
        <v>824</v>
      </c>
      <c r="C391" s="12" t="s">
        <v>1350</v>
      </c>
      <c r="D391" s="12" t="s">
        <v>483</v>
      </c>
      <c r="E391" s="15" t="s">
        <v>1351</v>
      </c>
      <c r="F391" s="123">
        <f t="shared" si="1"/>
        <v>2</v>
      </c>
      <c r="G391" s="121" t="s">
        <v>1352</v>
      </c>
      <c r="H391" s="12"/>
      <c r="I391" s="192" t="str">
        <f>IFERROR(__xludf.DUMMYFUNCTION("regexreplace(lower(C391), ""_"", """")"),"respiratoryfio2")</f>
        <v>respiratoryfio2</v>
      </c>
      <c r="J391" s="192" t="b">
        <f t="shared" si="29"/>
        <v>1</v>
      </c>
      <c r="K391" s="192" t="str">
        <f>IFERROR(__xludf.DUMMYFUNCTION("regexreplace(G391, ""_"", """")"),"respiratoryfio2")</f>
        <v>respiratoryfio2</v>
      </c>
      <c r="L3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""$1$2"")"),"respiratory_fio2")</f>
        <v>respiratory_fio2</v>
      </c>
      <c r="N391" s="194" t="s">
        <v>7471</v>
      </c>
      <c r="P391" s="151" t="s">
        <v>1353</v>
      </c>
      <c r="Q391" s="151" t="s">
        <v>1354</v>
      </c>
      <c r="R391" s="207"/>
      <c r="S391" s="207"/>
    </row>
    <row r="392">
      <c r="A392" s="33"/>
      <c r="B392" s="33" t="s">
        <v>824</v>
      </c>
      <c r="C392" s="12" t="s">
        <v>1355</v>
      </c>
      <c r="D392" s="12" t="s">
        <v>483</v>
      </c>
      <c r="E392" s="15" t="s">
        <v>840</v>
      </c>
      <c r="F392" s="123">
        <f t="shared" si="1"/>
        <v>2</v>
      </c>
      <c r="G392" s="121" t="s">
        <v>1356</v>
      </c>
      <c r="H392" s="12"/>
      <c r="I392" s="192" t="str">
        <f>IFERROR(__xludf.DUMMYFUNCTION("regexreplace(lower(C392), ""_"", """")"),"respiratoryratehz")</f>
        <v>respiratoryratehz</v>
      </c>
      <c r="J392" s="192" t="b">
        <f t="shared" si="29"/>
        <v>1</v>
      </c>
      <c r="K392" s="192" t="str">
        <f>IFERROR(__xludf.DUMMYFUNCTION("regexreplace(G392, ""_"", """")"),"respiratoryratehz")</f>
        <v>respiratoryratehz</v>
      </c>
      <c r="L3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""$1$2"")"),"respiratory_rate__hz")</f>
        <v>respiratory_rate__hz</v>
      </c>
      <c r="N392" s="194" t="s">
        <v>7473</v>
      </c>
      <c r="P392" s="151" t="s">
        <v>1357</v>
      </c>
      <c r="Q392" s="151" t="s">
        <v>1358</v>
      </c>
      <c r="R392" s="207"/>
      <c r="S392" s="207"/>
    </row>
    <row r="393">
      <c r="A393" s="33"/>
      <c r="B393" s="33" t="s">
        <v>824</v>
      </c>
      <c r="C393" s="12" t="s">
        <v>1359</v>
      </c>
      <c r="D393" s="12" t="s">
        <v>483</v>
      </c>
      <c r="E393" s="15" t="s">
        <v>843</v>
      </c>
      <c r="F393" s="123">
        <f t="shared" si="1"/>
        <v>2</v>
      </c>
      <c r="G393" s="121" t="s">
        <v>1360</v>
      </c>
      <c r="H393" s="12"/>
      <c r="I393" s="192" t="str">
        <f>IFERROR(__xludf.DUMMYFUNCTION("regexreplace(lower(C393), ""_"", """")"),"respiratorypipcmh2o")</f>
        <v>respiratorypipcmh2o</v>
      </c>
      <c r="J393" s="192" t="b">
        <f t="shared" si="29"/>
        <v>1</v>
      </c>
      <c r="K393" s="192" t="str">
        <f>IFERROR(__xludf.DUMMYFUNCTION("regexreplace(G393, ""_"", """")"),"respiratorypipcmh2o")</f>
        <v>respiratorypipcmh2o</v>
      </c>
      <c r="L3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""$1$2"")"),"respiratory_p_i_p_cm_h2o")</f>
        <v>respiratory_p_i_p_cm_h2o</v>
      </c>
      <c r="N393" s="194" t="s">
        <v>7475</v>
      </c>
      <c r="P393" s="151" t="s">
        <v>1361</v>
      </c>
      <c r="Q393" s="151" t="s">
        <v>1362</v>
      </c>
      <c r="R393" s="207"/>
      <c r="S393" s="207"/>
    </row>
    <row r="394">
      <c r="A394" s="33"/>
      <c r="B394" s="33" t="s">
        <v>824</v>
      </c>
      <c r="C394" s="12" t="s">
        <v>1363</v>
      </c>
      <c r="D394" s="12" t="s">
        <v>483</v>
      </c>
      <c r="E394" s="15" t="s">
        <v>846</v>
      </c>
      <c r="F394" s="123">
        <f t="shared" si="1"/>
        <v>2</v>
      </c>
      <c r="G394" s="121" t="s">
        <v>1364</v>
      </c>
      <c r="H394" s="12"/>
      <c r="I394" s="192" t="str">
        <f>IFERROR(__xludf.DUMMYFUNCTION("regexreplace(lower(C394), ""_"", """")"),"respiratorymapcmh2o")</f>
        <v>respiratorymapcmh2o</v>
      </c>
      <c r="J394" s="192" t="b">
        <f t="shared" si="29"/>
        <v>1</v>
      </c>
      <c r="K394" s="192" t="str">
        <f>IFERROR(__xludf.DUMMYFUNCTION("regexreplace(G394, ""_"", """")"),"respiratorymapcmh2o")</f>
        <v>respiratorymapcmh2o</v>
      </c>
      <c r="L3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""$1$2"")"),"respiratory_m_a_p_cm_h2o")</f>
        <v>respiratory_m_a_p_cm_h2o</v>
      </c>
      <c r="N394" s="287"/>
      <c r="P394" s="151" t="s">
        <v>1365</v>
      </c>
      <c r="Q394" s="151" t="s">
        <v>1366</v>
      </c>
      <c r="R394" s="207"/>
      <c r="S394" s="207"/>
    </row>
    <row r="395">
      <c r="A395" s="33"/>
      <c r="B395" s="33" t="s">
        <v>824</v>
      </c>
      <c r="C395" s="12" t="s">
        <v>1367</v>
      </c>
      <c r="D395" s="12" t="s">
        <v>483</v>
      </c>
      <c r="E395" s="15" t="s">
        <v>849</v>
      </c>
      <c r="F395" s="123">
        <f t="shared" si="1"/>
        <v>2</v>
      </c>
      <c r="G395" s="121" t="s">
        <v>1368</v>
      </c>
      <c r="H395" s="12"/>
      <c r="I395" s="192" t="str">
        <f>IFERROR(__xludf.DUMMYFUNCTION("regexreplace(lower(C395), ""_"", """")"),"respiratorypeepcmh2o")</f>
        <v>respiratorypeepcmh2o</v>
      </c>
      <c r="J395" s="192" t="b">
        <f t="shared" si="29"/>
        <v>1</v>
      </c>
      <c r="K395" s="192" t="str">
        <f>IFERROR(__xludf.DUMMYFUNCTION("regexreplace(G395, ""_"", """")"),"respiratorypeepcmh2o")</f>
        <v>respiratorypeepcmh2o</v>
      </c>
      <c r="L3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""$1$2"")"),"respiratory_p_e_e_p_cm_h2o")</f>
        <v>respiratory_p_e_e_p_cm_h2o</v>
      </c>
      <c r="N395" s="194" t="s">
        <v>7478</v>
      </c>
      <c r="P395" s="151" t="s">
        <v>1369</v>
      </c>
      <c r="Q395" s="151" t="s">
        <v>1370</v>
      </c>
      <c r="R395" s="207"/>
      <c r="S395" s="207"/>
    </row>
    <row r="396">
      <c r="A396" s="33"/>
      <c r="B396" s="33"/>
      <c r="C396" s="12"/>
      <c r="D396" s="12"/>
      <c r="E396" s="15"/>
      <c r="F396" s="123">
        <f t="shared" si="1"/>
        <v>0</v>
      </c>
      <c r="G396" s="12" t="s">
        <v>851</v>
      </c>
      <c r="H396" s="12"/>
      <c r="I396" s="12" t="str">
        <f>IFERROR(__xludf.DUMMYFUNCTION("regexreplace(lower(C396), ""_"", """")"),"")</f>
        <v/>
      </c>
      <c r="J396" s="12" t="b">
        <f t="shared" si="29"/>
        <v>1</v>
      </c>
      <c r="K396" s="12" t="str">
        <f>IFERROR(__xludf.DUMMYFUNCTION("regexreplace(G396, ""_"", """")"),"")</f>
        <v/>
      </c>
      <c r="L39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396" s="40"/>
      <c r="P396" s="40"/>
      <c r="Q396" s="15"/>
      <c r="R396" s="88"/>
      <c r="S396" s="88"/>
    </row>
    <row r="397">
      <c r="A397" s="33" t="s">
        <v>1241</v>
      </c>
      <c r="B397" s="15" t="s">
        <v>852</v>
      </c>
      <c r="C397" s="12" t="s">
        <v>1371</v>
      </c>
      <c r="D397" s="12" t="s">
        <v>31</v>
      </c>
      <c r="E397" s="15" t="s">
        <v>1372</v>
      </c>
      <c r="F397" s="123">
        <f t="shared" si="1"/>
        <v>1</v>
      </c>
      <c r="G397" s="121" t="s">
        <v>7642</v>
      </c>
      <c r="H397" s="12"/>
      <c r="I397" s="192" t="str">
        <f>IFERROR(__xludf.DUMMYFUNCTION("regexreplace(lower(C397), ""_"", """")"),"bloodgastimeslot")</f>
        <v>bloodgastimeslot</v>
      </c>
      <c r="J397" s="192" t="b">
        <f t="shared" si="29"/>
        <v>0</v>
      </c>
      <c r="K397" s="192" t="str">
        <f>IFERROR(__xludf.DUMMYFUNCTION("regexreplace(G397, ""_"", """")"),"bloodgasinterval")</f>
        <v>bloodgasinterval</v>
      </c>
      <c r="L3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""$1$2"")"),"blood_gas_time_slot")</f>
        <v>blood_gas_time_slot</v>
      </c>
      <c r="N397" s="151"/>
      <c r="P397" s="151" t="s">
        <v>1374</v>
      </c>
      <c r="Q397" s="199"/>
      <c r="R397" s="207"/>
      <c r="S397" s="207"/>
    </row>
    <row r="398">
      <c r="A398" s="33"/>
      <c r="B398" s="15" t="s">
        <v>852</v>
      </c>
      <c r="C398" s="12" t="s">
        <v>1375</v>
      </c>
      <c r="D398" s="12" t="s">
        <v>26</v>
      </c>
      <c r="E398" s="15" t="s">
        <v>854</v>
      </c>
      <c r="F398" s="123">
        <f t="shared" si="1"/>
        <v>2</v>
      </c>
      <c r="G398" s="121" t="s">
        <v>1376</v>
      </c>
      <c r="H398" s="12"/>
      <c r="I398" s="192" t="str">
        <f>IFERROR(__xludf.DUMMYFUNCTION("regexreplace(lower(C398), ""_"", """")"),"bloodgasdate")</f>
        <v>bloodgasdate</v>
      </c>
      <c r="J398" s="192" t="b">
        <f t="shared" si="29"/>
        <v>1</v>
      </c>
      <c r="K398" s="192" t="str">
        <f>IFERROR(__xludf.DUMMYFUNCTION("regexreplace(G398, ""_"", """")"),"bloodgasdate")</f>
        <v>bloodgasdate</v>
      </c>
      <c r="L3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""$1$2"")"),"blood_gas_date")</f>
        <v>blood_gas_date</v>
      </c>
      <c r="N398" s="194" t="s">
        <v>7416</v>
      </c>
      <c r="P398" s="151" t="s">
        <v>1377</v>
      </c>
      <c r="Q398" s="151" t="s">
        <v>1378</v>
      </c>
      <c r="R398" s="207"/>
      <c r="S398" s="207"/>
    </row>
    <row r="399">
      <c r="A399" s="33"/>
      <c r="B399" s="15" t="s">
        <v>852</v>
      </c>
      <c r="C399" s="12" t="s">
        <v>1379</v>
      </c>
      <c r="D399" s="12" t="s">
        <v>145</v>
      </c>
      <c r="E399" s="15" t="s">
        <v>857</v>
      </c>
      <c r="F399" s="123">
        <f t="shared" si="1"/>
        <v>2</v>
      </c>
      <c r="G399" s="121" t="s">
        <v>1380</v>
      </c>
      <c r="H399" s="12"/>
      <c r="I399" s="192" t="str">
        <f>IFERROR(__xludf.DUMMYFUNCTION("regexreplace(lower(C399), ""_"", """")"),"bloodgastime")</f>
        <v>bloodgastime</v>
      </c>
      <c r="J399" s="192" t="b">
        <f t="shared" si="29"/>
        <v>1</v>
      </c>
      <c r="K399" s="192" t="str">
        <f>IFERROR(__xludf.DUMMYFUNCTION("regexreplace(G399, ""_"", """")"),"bloodgastime")</f>
        <v>bloodgastime</v>
      </c>
      <c r="L3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399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""$1$2"")"),"blood_gas_time")</f>
        <v>blood_gas_time</v>
      </c>
      <c r="N399" s="151"/>
      <c r="P399" s="151" t="s">
        <v>1381</v>
      </c>
      <c r="Q399" s="151" t="s">
        <v>1382</v>
      </c>
      <c r="R399" s="207"/>
      <c r="S399" s="207"/>
    </row>
    <row r="400">
      <c r="A400" s="33"/>
      <c r="B400" s="15" t="s">
        <v>852</v>
      </c>
      <c r="C400" s="12" t="s">
        <v>663</v>
      </c>
      <c r="D400" s="12" t="s">
        <v>663</v>
      </c>
      <c r="E400" s="15"/>
      <c r="F400" s="123">
        <f t="shared" si="1"/>
        <v>1</v>
      </c>
      <c r="G400" s="121" t="s">
        <v>1383</v>
      </c>
      <c r="H400" s="12"/>
      <c r="I400" s="192" t="str">
        <f>IFERROR(__xludf.DUMMYFUNCTION("regexreplace(lower(C400), ""_"", """")"),"bloodgassrc")</f>
        <v>bloodgassrc</v>
      </c>
      <c r="J400" s="192" t="b">
        <f t="shared" si="29"/>
        <v>1</v>
      </c>
      <c r="K400" s="192" t="str">
        <f>IFERROR(__xludf.DUMMYFUNCTION("regexreplace(G400, ""_"", """")"),"bloodgassrc")</f>
        <v>bloodgassrc</v>
      </c>
      <c r="L4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""$1$2"")"),"blood_gas_src")</f>
        <v>blood_gas_src</v>
      </c>
      <c r="N400" s="194" t="s">
        <v>7415</v>
      </c>
      <c r="P400" s="151"/>
      <c r="Q400" s="151" t="s">
        <v>1384</v>
      </c>
      <c r="R400" s="207"/>
      <c r="S400" s="207"/>
    </row>
    <row r="401">
      <c r="A401" s="33"/>
      <c r="B401" s="15" t="s">
        <v>852</v>
      </c>
      <c r="C401" s="12" t="s">
        <v>1385</v>
      </c>
      <c r="D401" s="12" t="s">
        <v>483</v>
      </c>
      <c r="E401" s="15" t="s">
        <v>862</v>
      </c>
      <c r="F401" s="123">
        <f t="shared" si="1"/>
        <v>2</v>
      </c>
      <c r="G401" s="121" t="s">
        <v>1386</v>
      </c>
      <c r="H401" s="12"/>
      <c r="I401" s="192" t="str">
        <f>IFERROR(__xludf.DUMMYFUNCTION("regexreplace(lower(C401), ""_"", """")"),"bloodgasph")</f>
        <v>bloodgasph</v>
      </c>
      <c r="J401" s="192" t="b">
        <f t="shared" si="29"/>
        <v>1</v>
      </c>
      <c r="K401" s="192" t="str">
        <f>IFERROR(__xludf.DUMMYFUNCTION("regexreplace(G401, ""_"", """")"),"bloodgasph")</f>
        <v>bloodgasph</v>
      </c>
      <c r="L4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""$1$2"")"),"blood_gas_ph")</f>
        <v>blood_gas_ph</v>
      </c>
      <c r="N401" s="194" t="s">
        <v>7417</v>
      </c>
      <c r="P401" s="151" t="s">
        <v>1387</v>
      </c>
      <c r="Q401" s="151" t="s">
        <v>1388</v>
      </c>
      <c r="R401" s="207"/>
      <c r="S401" s="207"/>
    </row>
    <row r="402">
      <c r="A402" s="33"/>
      <c r="B402" s="15" t="s">
        <v>852</v>
      </c>
      <c r="C402" s="12" t="s">
        <v>1389</v>
      </c>
      <c r="D402" s="12" t="s">
        <v>483</v>
      </c>
      <c r="E402" s="15" t="s">
        <v>865</v>
      </c>
      <c r="F402" s="123">
        <f t="shared" si="1"/>
        <v>2</v>
      </c>
      <c r="G402" s="121" t="s">
        <v>1390</v>
      </c>
      <c r="H402" s="12"/>
      <c r="I402" s="192" t="str">
        <f>IFERROR(__xludf.DUMMYFUNCTION("regexreplace(lower(C402), ""_"", """")"),"bloodgaspco2mmhg")</f>
        <v>bloodgaspco2mmhg</v>
      </c>
      <c r="J402" s="192" t="b">
        <f t="shared" si="29"/>
        <v>1</v>
      </c>
      <c r="K402" s="192" t="str">
        <f>IFERROR(__xludf.DUMMYFUNCTION("regexreplace(G402, ""_"", """")"),"bloodgaspco2mmhg")</f>
        <v>bloodgaspco2mmhg</v>
      </c>
      <c r="L4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""$1$2"")"),"blood_gas_pco2__mmhg")</f>
        <v>blood_gas_pco2__mmhg</v>
      </c>
      <c r="N402" s="194" t="s">
        <v>7418</v>
      </c>
      <c r="P402" s="151" t="s">
        <v>1391</v>
      </c>
      <c r="Q402" s="151" t="s">
        <v>1392</v>
      </c>
      <c r="R402" s="207"/>
      <c r="S402" s="207"/>
    </row>
    <row r="403">
      <c r="A403" s="33"/>
      <c r="B403" s="15" t="s">
        <v>852</v>
      </c>
      <c r="C403" s="12" t="s">
        <v>1393</v>
      </c>
      <c r="D403" s="12" t="s">
        <v>483</v>
      </c>
      <c r="E403" s="15" t="s">
        <v>868</v>
      </c>
      <c r="F403" s="123">
        <f t="shared" si="1"/>
        <v>2</v>
      </c>
      <c r="G403" s="121" t="s">
        <v>1394</v>
      </c>
      <c r="H403" s="12"/>
      <c r="I403" s="192" t="str">
        <f>IFERROR(__xludf.DUMMYFUNCTION("regexreplace(lower(C403), ""_"", """")"),"bloodgaspo2mmhg")</f>
        <v>bloodgaspo2mmhg</v>
      </c>
      <c r="J403" s="192" t="b">
        <f t="shared" si="29"/>
        <v>1</v>
      </c>
      <c r="K403" s="192" t="str">
        <f>IFERROR(__xludf.DUMMYFUNCTION("regexreplace(G403, ""_"", """")"),"bloodgaspo2mmhg")</f>
        <v>bloodgaspo2mmhg</v>
      </c>
      <c r="L4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""$1$2"")"),"blood_gas_po2__mmhg")</f>
        <v>blood_gas_po2__mmhg</v>
      </c>
      <c r="N403" s="194" t="s">
        <v>7419</v>
      </c>
      <c r="P403" s="151" t="s">
        <v>1395</v>
      </c>
      <c r="Q403" s="151" t="s">
        <v>1396</v>
      </c>
      <c r="R403" s="207"/>
      <c r="S403" s="207"/>
    </row>
    <row r="404">
      <c r="A404" s="33"/>
      <c r="B404" s="15" t="s">
        <v>852</v>
      </c>
      <c r="C404" s="12" t="s">
        <v>1397</v>
      </c>
      <c r="D404" s="12" t="s">
        <v>483</v>
      </c>
      <c r="E404" s="15" t="s">
        <v>871</v>
      </c>
      <c r="F404" s="123">
        <f t="shared" si="1"/>
        <v>2</v>
      </c>
      <c r="G404" s="121" t="s">
        <v>1398</v>
      </c>
      <c r="H404" s="12"/>
      <c r="I404" s="192" t="str">
        <f>IFERROR(__xludf.DUMMYFUNCTION("regexreplace(lower(C404), ""_"", """")"),"bloodgashco3meqperl")</f>
        <v>bloodgashco3meqperl</v>
      </c>
      <c r="J404" s="192" t="b">
        <f t="shared" si="29"/>
        <v>1</v>
      </c>
      <c r="K404" s="192" t="str">
        <f>IFERROR(__xludf.DUMMYFUNCTION("regexreplace(G404, ""_"", """")"),"bloodgashco3meqperl")</f>
        <v>bloodgashco3meqperl</v>
      </c>
      <c r="L4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""$1$2"")"),"blood_gas_hco3__meqperl")</f>
        <v>blood_gas_hco3__meqperl</v>
      </c>
      <c r="N404" s="194" t="s">
        <v>7420</v>
      </c>
      <c r="P404" s="151" t="s">
        <v>1399</v>
      </c>
      <c r="Q404" s="151" t="s">
        <v>1400</v>
      </c>
      <c r="R404" s="207"/>
      <c r="S404" s="207"/>
    </row>
    <row r="405">
      <c r="A405" s="33"/>
      <c r="B405" s="15" t="s">
        <v>852</v>
      </c>
      <c r="C405" s="12" t="s">
        <v>1401</v>
      </c>
      <c r="D405" s="12" t="s">
        <v>483</v>
      </c>
      <c r="E405" s="15" t="s">
        <v>874</v>
      </c>
      <c r="F405" s="123">
        <f t="shared" si="1"/>
        <v>2</v>
      </c>
      <c r="G405" s="121" t="s">
        <v>7643</v>
      </c>
      <c r="H405" s="12"/>
      <c r="I405" s="192" t="str">
        <f>IFERROR(__xludf.DUMMYFUNCTION("regexreplace(lower(C405), ""_"", """")"),"bloodgasbasedeficitmeqperl")</f>
        <v>bloodgasbasedeficitmeqperl</v>
      </c>
      <c r="J405" s="192" t="b">
        <f t="shared" si="29"/>
        <v>0</v>
      </c>
      <c r="K405" s="192" t="str">
        <f>IFERROR(__xludf.DUMMYFUNCTION("regexreplace(G405, ""_"", """")"),"bloodgasbasedeficit")</f>
        <v>bloodgasbasedeficit</v>
      </c>
      <c r="L4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""$1$2"")"),"blood_gas_base_deficit__meqperl")</f>
        <v>blood_gas_base_deficit__meqperl</v>
      </c>
      <c r="N405" s="194" t="s">
        <v>7421</v>
      </c>
      <c r="P405" s="151" t="s">
        <v>1403</v>
      </c>
      <c r="Q405" s="151" t="s">
        <v>1404</v>
      </c>
      <c r="R405" s="207"/>
      <c r="S405" s="207"/>
    </row>
    <row r="406">
      <c r="A406" s="33"/>
      <c r="B406" s="15" t="s">
        <v>852</v>
      </c>
      <c r="C406" s="12" t="s">
        <v>1405</v>
      </c>
      <c r="D406" s="12" t="s">
        <v>483</v>
      </c>
      <c r="E406" s="15" t="s">
        <v>877</v>
      </c>
      <c r="F406" s="123">
        <f t="shared" si="1"/>
        <v>1</v>
      </c>
      <c r="G406" s="121" t="s">
        <v>1406</v>
      </c>
      <c r="H406" s="12"/>
      <c r="I406" s="192" t="str">
        <f>IFERROR(__xludf.DUMMYFUNCTION("regexreplace(lower(C406), ""_"", """")"),"bloodgasphcorrect")</f>
        <v>bloodgasphcorrect</v>
      </c>
      <c r="J406" s="192" t="b">
        <f t="shared" si="29"/>
        <v>1</v>
      </c>
      <c r="K406" s="192" t="str">
        <f>IFERROR(__xludf.DUMMYFUNCTION("regexreplace(G406, ""_"", """")"),"bloodgasphcorrect")</f>
        <v>bloodgasphcorrect</v>
      </c>
      <c r="L4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""$1$2"")"),"blood_gas_ph_correct")</f>
        <v>blood_gas_ph_correct</v>
      </c>
      <c r="N406" s="199"/>
      <c r="P406" s="199"/>
      <c r="Q406" s="151" t="s">
        <v>1407</v>
      </c>
      <c r="R406" s="207"/>
      <c r="S406" s="207"/>
    </row>
    <row r="407">
      <c r="A407" s="33"/>
      <c r="B407" s="15" t="s">
        <v>852</v>
      </c>
      <c r="C407" s="12" t="s">
        <v>1408</v>
      </c>
      <c r="D407" s="12" t="s">
        <v>483</v>
      </c>
      <c r="E407" s="15" t="s">
        <v>880</v>
      </c>
      <c r="F407" s="123">
        <f t="shared" si="1"/>
        <v>1</v>
      </c>
      <c r="G407" s="121" t="s">
        <v>7644</v>
      </c>
      <c r="H407" s="12"/>
      <c r="I407" s="192" t="str">
        <f>IFERROR(__xludf.DUMMYFUNCTION("regexreplace(lower(C407), ""_"", """")"),"bloodgaspco2correctmmhg")</f>
        <v>bloodgaspco2correctmmhg</v>
      </c>
      <c r="J407" s="192" t="b">
        <f t="shared" si="29"/>
        <v>0</v>
      </c>
      <c r="K407" s="192" t="str">
        <f>IFERROR(__xludf.DUMMYFUNCTION("regexreplace(G407, ""_"", """")"),"bloodgaspco2mmhgcorrect")</f>
        <v>bloodgaspco2mmhgcorrect</v>
      </c>
      <c r="L4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""$1$2"")"),"blood_gas_pco2correct__mmhg")</f>
        <v>blood_gas_pco2correct__mmhg</v>
      </c>
      <c r="N407" s="199"/>
      <c r="P407" s="199"/>
      <c r="Q407" s="151" t="s">
        <v>1410</v>
      </c>
      <c r="R407" s="207"/>
      <c r="S407" s="207"/>
    </row>
    <row r="408">
      <c r="A408" s="33"/>
      <c r="B408" s="15" t="s">
        <v>852</v>
      </c>
      <c r="C408" s="12" t="s">
        <v>1411</v>
      </c>
      <c r="D408" s="12" t="s">
        <v>483</v>
      </c>
      <c r="E408" s="15" t="s">
        <v>883</v>
      </c>
      <c r="F408" s="123">
        <f t="shared" si="1"/>
        <v>1</v>
      </c>
      <c r="G408" s="121" t="s">
        <v>7645</v>
      </c>
      <c r="H408" s="12"/>
      <c r="I408" s="192" t="str">
        <f>IFERROR(__xludf.DUMMYFUNCTION("regexreplace(lower(C408), ""_"", """")"),"bloodgaspo2correctmmhg")</f>
        <v>bloodgaspo2correctmmhg</v>
      </c>
      <c r="J408" s="192" t="b">
        <f t="shared" si="29"/>
        <v>0</v>
      </c>
      <c r="K408" s="192" t="str">
        <f>IFERROR(__xludf.DUMMYFUNCTION("regexreplace(G408, ""_"", """")"),"bloodgaspo2mmhgcorrect")</f>
        <v>bloodgaspo2mmhgcorrect</v>
      </c>
      <c r="L4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""$1$2"")"),"blood_gas_po2correct__mmhg")</f>
        <v>blood_gas_po2correct__mmhg</v>
      </c>
      <c r="N408" s="199"/>
      <c r="P408" s="199"/>
      <c r="Q408" s="151" t="s">
        <v>1413</v>
      </c>
      <c r="R408" s="207"/>
      <c r="S408" s="207"/>
    </row>
    <row r="409">
      <c r="A409" s="33"/>
      <c r="B409" s="15" t="s">
        <v>852</v>
      </c>
      <c r="C409" s="12" t="s">
        <v>1414</v>
      </c>
      <c r="D409" s="12" t="s">
        <v>483</v>
      </c>
      <c r="E409" s="15" t="s">
        <v>886</v>
      </c>
      <c r="F409" s="123">
        <f t="shared" si="1"/>
        <v>1</v>
      </c>
      <c r="G409" s="121" t="s">
        <v>7646</v>
      </c>
      <c r="H409" s="12"/>
      <c r="I409" s="192" t="str">
        <f>IFERROR(__xludf.DUMMYFUNCTION("regexreplace(lower(C409), ""_"", """")"),"bloodgashco3correctmeqperl")</f>
        <v>bloodgashco3correctmeqperl</v>
      </c>
      <c r="J409" s="192" t="b">
        <f t="shared" si="29"/>
        <v>0</v>
      </c>
      <c r="K409" s="192" t="str">
        <f>IFERROR(__xludf.DUMMYFUNCTION("regexreplace(G409, ""_"", """")"),"bloodgashco3meqperlcorrect")</f>
        <v>bloodgashco3meqperlcorrect</v>
      </c>
      <c r="L4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""$1$2"")"),"blood_gas_hco3correct__meqperl")</f>
        <v>blood_gas_hco3correct__meqperl</v>
      </c>
      <c r="N409" s="199"/>
      <c r="P409" s="199"/>
      <c r="Q409" s="151" t="s">
        <v>1416</v>
      </c>
      <c r="R409" s="207"/>
      <c r="S409" s="207"/>
    </row>
    <row r="410">
      <c r="A410" s="33"/>
      <c r="B410" s="15" t="s">
        <v>852</v>
      </c>
      <c r="C410" s="12" t="s">
        <v>1417</v>
      </c>
      <c r="D410" s="12" t="s">
        <v>483</v>
      </c>
      <c r="E410" s="15" t="s">
        <v>889</v>
      </c>
      <c r="F410" s="123">
        <f t="shared" si="1"/>
        <v>1</v>
      </c>
      <c r="G410" s="121" t="s">
        <v>7647</v>
      </c>
      <c r="H410" s="12"/>
      <c r="I410" s="192" t="str">
        <f>IFERROR(__xludf.DUMMYFUNCTION("regexreplace(lower(C410), ""_"", """")"),"bloodgasbasedeficitcorrectmeqperl")</f>
        <v>bloodgasbasedeficitcorrectmeqperl</v>
      </c>
      <c r="J410" s="192" t="b">
        <f t="shared" si="29"/>
        <v>0</v>
      </c>
      <c r="K410" s="192" t="str">
        <f>IFERROR(__xludf.DUMMYFUNCTION("regexreplace(G410, ""_"", """")"),"bloodgasbasedeficitcorrect")</f>
        <v>bloodgasbasedeficitcorrect</v>
      </c>
      <c r="L4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""$1$2"")"),"blood_gas_base_deficit_correct__meqperl")</f>
        <v>blood_gas_base_deficit_correct__meqperl</v>
      </c>
      <c r="N410" s="199"/>
      <c r="P410" s="199"/>
      <c r="Q410" s="151" t="s">
        <v>1419</v>
      </c>
      <c r="R410" s="207"/>
      <c r="S410" s="207"/>
    </row>
    <row r="411">
      <c r="A411" s="33"/>
      <c r="B411" s="33"/>
      <c r="C411" s="12"/>
      <c r="D411" s="12"/>
      <c r="E411" s="15"/>
      <c r="F411" s="123">
        <f t="shared" si="1"/>
        <v>0</v>
      </c>
      <c r="G411" s="121"/>
      <c r="H411" s="12"/>
      <c r="I411" s="192"/>
      <c r="J411" s="192"/>
      <c r="K411" s="192"/>
      <c r="L411" s="121"/>
      <c r="N411" s="199"/>
      <c r="P411" s="199"/>
      <c r="Q411" s="151"/>
      <c r="R411" s="207"/>
      <c r="S411" s="207"/>
    </row>
    <row r="412">
      <c r="A412" s="33" t="s">
        <v>1241</v>
      </c>
      <c r="B412" s="33" t="s">
        <v>891</v>
      </c>
      <c r="C412" s="12" t="s">
        <v>1420</v>
      </c>
      <c r="D412" s="12" t="s">
        <v>40</v>
      </c>
      <c r="E412" s="15" t="s">
        <v>893</v>
      </c>
      <c r="F412" s="123">
        <f t="shared" si="1"/>
        <v>1</v>
      </c>
      <c r="G412" s="121" t="s">
        <v>1420</v>
      </c>
      <c r="H412" s="12"/>
      <c r="I412" s="192" t="str">
        <f>IFERROR(__xludf.DUMMYFUNCTION("regexreplace(lower(C412), ""_"", """")"),"hematology")</f>
        <v>hematology</v>
      </c>
      <c r="J412" s="192" t="b">
        <f t="shared" ref="J412:J427" si="30">exact(I412, K412)</f>
        <v>1</v>
      </c>
      <c r="K412" s="192" t="str">
        <f>IFERROR(__xludf.DUMMYFUNCTION("regexreplace(G412, ""_"", """")"),"hematology")</f>
        <v>hematology</v>
      </c>
      <c r="L4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""$1$2"")"),"hematology")</f>
        <v>hematology</v>
      </c>
      <c r="N412" s="199"/>
      <c r="P412" s="199"/>
      <c r="Q412" s="151" t="s">
        <v>1421</v>
      </c>
      <c r="R412" s="207"/>
      <c r="S412" s="207"/>
    </row>
    <row r="413">
      <c r="A413" s="33"/>
      <c r="B413" s="33" t="s">
        <v>891</v>
      </c>
      <c r="C413" s="12" t="s">
        <v>1422</v>
      </c>
      <c r="D413" s="12" t="s">
        <v>31</v>
      </c>
      <c r="E413" s="15" t="s">
        <v>1423</v>
      </c>
      <c r="F413" s="123">
        <f t="shared" si="1"/>
        <v>1</v>
      </c>
      <c r="G413" s="121" t="s">
        <v>7648</v>
      </c>
      <c r="H413" s="12"/>
      <c r="I413" s="192" t="str">
        <f>IFERROR(__xludf.DUMMYFUNCTION("regexreplace(lower(C413), ""_"", """")"),"hematologytimeslot")</f>
        <v>hematologytimeslot</v>
      </c>
      <c r="J413" s="192" t="b">
        <f t="shared" si="30"/>
        <v>0</v>
      </c>
      <c r="K413" s="192" t="str">
        <f>IFERROR(__xludf.DUMMYFUNCTION("regexreplace(G413, ""_"", """")"),"hematologyinterval")</f>
        <v>hematologyinterval</v>
      </c>
      <c r="L4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""$1$2"")"),"hematology_time_slot")</f>
        <v>hematology_time_slot</v>
      </c>
      <c r="N413" s="151"/>
      <c r="P413" s="151" t="s">
        <v>1425</v>
      </c>
      <c r="Q413" s="290"/>
      <c r="R413" s="207"/>
      <c r="S413" s="207"/>
    </row>
    <row r="414">
      <c r="A414" s="33"/>
      <c r="B414" s="33" t="s">
        <v>891</v>
      </c>
      <c r="C414" s="12" t="s">
        <v>1426</v>
      </c>
      <c r="D414" s="12" t="s">
        <v>26</v>
      </c>
      <c r="E414" s="15" t="s">
        <v>896</v>
      </c>
      <c r="F414" s="123">
        <f t="shared" si="1"/>
        <v>1</v>
      </c>
      <c r="G414" s="121" t="s">
        <v>1427</v>
      </c>
      <c r="H414" s="12"/>
      <c r="I414" s="192" t="str">
        <f>IFERROR(__xludf.DUMMYFUNCTION("regexreplace(lower(C414), ""_"", """")"),"hematologydate")</f>
        <v>hematologydate</v>
      </c>
      <c r="J414" s="192" t="b">
        <f t="shared" si="30"/>
        <v>1</v>
      </c>
      <c r="K414" s="192" t="str">
        <f>IFERROR(__xludf.DUMMYFUNCTION("regexreplace(G414, ""_"", """")"),"hematologydate")</f>
        <v>hematologydate</v>
      </c>
      <c r="L4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""$1$2"")"),"hematology_date")</f>
        <v>hematology_date</v>
      </c>
      <c r="N414" s="194" t="s">
        <v>7416</v>
      </c>
      <c r="P414" s="151" t="s">
        <v>1428</v>
      </c>
      <c r="Q414" s="290"/>
      <c r="R414" s="207"/>
      <c r="S414" s="207"/>
    </row>
    <row r="415">
      <c r="A415" s="33"/>
      <c r="B415" s="33" t="s">
        <v>891</v>
      </c>
      <c r="C415" s="12" t="s">
        <v>1429</v>
      </c>
      <c r="D415" s="12" t="s">
        <v>145</v>
      </c>
      <c r="E415" s="15" t="s">
        <v>899</v>
      </c>
      <c r="F415" s="123">
        <f t="shared" si="1"/>
        <v>1</v>
      </c>
      <c r="G415" s="121" t="s">
        <v>1430</v>
      </c>
      <c r="H415" s="12"/>
      <c r="I415" s="192" t="str">
        <f>IFERROR(__xludf.DUMMYFUNCTION("regexreplace(lower(C415), ""_"", """")"),"hematologytime")</f>
        <v>hematologytime</v>
      </c>
      <c r="J415" s="192" t="b">
        <f t="shared" si="30"/>
        <v>1</v>
      </c>
      <c r="K415" s="192" t="str">
        <f>IFERROR(__xludf.DUMMYFUNCTION("regexreplace(G415, ""_"", """")"),"hematologytime")</f>
        <v>hematologytime</v>
      </c>
      <c r="L4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""$1$2"")"),"hematology_time")</f>
        <v>hematology_time</v>
      </c>
      <c r="N415" s="151"/>
      <c r="P415" s="151" t="s">
        <v>1431</v>
      </c>
      <c r="Q415" s="290"/>
      <c r="R415" s="207"/>
      <c r="S415" s="207"/>
    </row>
    <row r="416">
      <c r="A416" s="33"/>
      <c r="B416" s="33" t="s">
        <v>891</v>
      </c>
      <c r="C416" s="12" t="s">
        <v>1432</v>
      </c>
      <c r="D416" s="12" t="s">
        <v>483</v>
      </c>
      <c r="E416" s="15" t="s">
        <v>902</v>
      </c>
      <c r="F416" s="123">
        <f t="shared" si="1"/>
        <v>2</v>
      </c>
      <c r="G416" s="121" t="s">
        <v>1433</v>
      </c>
      <c r="H416" s="12"/>
      <c r="I416" s="192" t="str">
        <f>IFERROR(__xludf.DUMMYFUNCTION("regexreplace(lower(C416), ""_"", """")"),"hematologywbc")</f>
        <v>hematologywbc</v>
      </c>
      <c r="J416" s="192" t="b">
        <f t="shared" si="30"/>
        <v>1</v>
      </c>
      <c r="K416" s="192" t="str">
        <f>IFERROR(__xludf.DUMMYFUNCTION("regexreplace(G416, ""_"", """")"),"hematologywbc")</f>
        <v>hematologywbc</v>
      </c>
      <c r="L4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""$1$2"")"),"hematology_w_b_c")</f>
        <v>hematology_w_b_c</v>
      </c>
      <c r="N416" s="194" t="s">
        <v>7496</v>
      </c>
      <c r="P416" s="151" t="s">
        <v>1434</v>
      </c>
      <c r="Q416" s="151" t="s">
        <v>1435</v>
      </c>
      <c r="R416" s="207"/>
      <c r="S416" s="207"/>
    </row>
    <row r="417">
      <c r="A417" s="33"/>
      <c r="B417" s="33" t="s">
        <v>891</v>
      </c>
      <c r="C417" s="12" t="s">
        <v>1436</v>
      </c>
      <c r="D417" s="12" t="s">
        <v>483</v>
      </c>
      <c r="E417" s="15" t="s">
        <v>905</v>
      </c>
      <c r="F417" s="123">
        <f t="shared" si="1"/>
        <v>2</v>
      </c>
      <c r="G417" s="121" t="s">
        <v>1437</v>
      </c>
      <c r="H417" s="12"/>
      <c r="I417" s="192" t="str">
        <f>IFERROR(__xludf.DUMMYFUNCTION("regexreplace(lower(C417), ""_"", """")"),"hematologyhemoglobin")</f>
        <v>hematologyhemoglobin</v>
      </c>
      <c r="J417" s="192" t="b">
        <f t="shared" si="30"/>
        <v>1</v>
      </c>
      <c r="K417" s="192" t="str">
        <f>IFERROR(__xludf.DUMMYFUNCTION("regexreplace(G417, ""_"", """")"),"hematologyhemoglobin")</f>
        <v>hematologyhemoglobin</v>
      </c>
      <c r="L4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""$1$2"")"),"hematology_hemoglobin")</f>
        <v>hematology_hemoglobin</v>
      </c>
      <c r="N417" s="194" t="s">
        <v>7498</v>
      </c>
      <c r="P417" s="151" t="s">
        <v>1438</v>
      </c>
      <c r="Q417" s="151" t="s">
        <v>1439</v>
      </c>
      <c r="R417" s="207"/>
      <c r="S417" s="207"/>
    </row>
    <row r="418">
      <c r="A418" s="33"/>
      <c r="B418" s="33" t="s">
        <v>891</v>
      </c>
      <c r="C418" s="12" t="s">
        <v>1440</v>
      </c>
      <c r="D418" s="12" t="s">
        <v>483</v>
      </c>
      <c r="E418" s="15" t="s">
        <v>908</v>
      </c>
      <c r="F418" s="123">
        <f t="shared" si="1"/>
        <v>2</v>
      </c>
      <c r="G418" s="121" t="s">
        <v>1441</v>
      </c>
      <c r="H418" s="12"/>
      <c r="I418" s="192" t="str">
        <f>IFERROR(__xludf.DUMMYFUNCTION("regexreplace(lower(C418), ""_"", """")"),"hematologypolymorphneutrophilsdifferentialcount")</f>
        <v>hematologypolymorphneutrophilsdifferentialcount</v>
      </c>
      <c r="J418" s="192" t="b">
        <f t="shared" si="30"/>
        <v>1</v>
      </c>
      <c r="K418" s="192" t="str">
        <f>IFERROR(__xludf.DUMMYFUNCTION("regexreplace(G418, ""_"", """")"),"hematologypolymorphneutrophilsdifferentialcount")</f>
        <v>hematologypolymorphneutrophilsdifferentialcount</v>
      </c>
      <c r="L4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""$1$2"")"),"hematology_polymorph_neutrophils_differential_count")</f>
        <v>hematology_polymorph_neutrophils_differential_count</v>
      </c>
      <c r="N418" s="194" t="s">
        <v>7500</v>
      </c>
      <c r="P418" s="151" t="s">
        <v>1442</v>
      </c>
      <c r="Q418" s="151" t="s">
        <v>1443</v>
      </c>
      <c r="R418" s="207"/>
      <c r="S418" s="207"/>
    </row>
    <row r="419">
      <c r="A419" s="33"/>
      <c r="B419" s="33" t="s">
        <v>891</v>
      </c>
      <c r="C419" s="12" t="s">
        <v>1444</v>
      </c>
      <c r="D419" s="12" t="s">
        <v>483</v>
      </c>
      <c r="E419" s="15" t="s">
        <v>911</v>
      </c>
      <c r="F419" s="123">
        <f t="shared" si="1"/>
        <v>2</v>
      </c>
      <c r="G419" s="121" t="s">
        <v>1445</v>
      </c>
      <c r="H419" s="12"/>
      <c r="I419" s="192" t="str">
        <f>IFERROR(__xludf.DUMMYFUNCTION("regexreplace(lower(C419), ""_"", """")"),"hematologymonocytes")</f>
        <v>hematologymonocytes</v>
      </c>
      <c r="J419" s="192" t="b">
        <f t="shared" si="30"/>
        <v>1</v>
      </c>
      <c r="K419" s="192" t="str">
        <f>IFERROR(__xludf.DUMMYFUNCTION("regexreplace(G419, ""_"", """")"),"hematologymonocytes")</f>
        <v>hematologymonocytes</v>
      </c>
      <c r="L4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""$1$2"")"),"hematology_monocytes")</f>
        <v>hematology_monocytes</v>
      </c>
      <c r="N419" s="194" t="s">
        <v>7502</v>
      </c>
      <c r="P419" s="151" t="s">
        <v>1446</v>
      </c>
      <c r="Q419" s="151" t="s">
        <v>1447</v>
      </c>
      <c r="R419" s="207"/>
      <c r="S419" s="207"/>
    </row>
    <row r="420">
      <c r="A420" s="33"/>
      <c r="B420" s="33" t="s">
        <v>891</v>
      </c>
      <c r="C420" s="12" t="s">
        <v>1448</v>
      </c>
      <c r="D420" s="12" t="s">
        <v>483</v>
      </c>
      <c r="E420" s="15" t="s">
        <v>914</v>
      </c>
      <c r="F420" s="123">
        <f t="shared" si="1"/>
        <v>2</v>
      </c>
      <c r="G420" s="121" t="s">
        <v>1449</v>
      </c>
      <c r="H420" s="12"/>
      <c r="I420" s="192" t="str">
        <f>IFERROR(__xludf.DUMMYFUNCTION("regexreplace(lower(C420), ""_"", """")"),"hematologylymphocytes")</f>
        <v>hematologylymphocytes</v>
      </c>
      <c r="J420" s="192" t="b">
        <f t="shared" si="30"/>
        <v>1</v>
      </c>
      <c r="K420" s="192" t="str">
        <f>IFERROR(__xludf.DUMMYFUNCTION("regexreplace(G420, ""_"", """")"),"hematologylymphocytes")</f>
        <v>hematologylymphocytes</v>
      </c>
      <c r="L4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""$1$2"")"),"hematology_lymphocytes")</f>
        <v>hematology_lymphocytes</v>
      </c>
      <c r="N420" s="194" t="s">
        <v>7504</v>
      </c>
      <c r="P420" s="151" t="s">
        <v>1450</v>
      </c>
      <c r="Q420" s="151" t="s">
        <v>1451</v>
      </c>
      <c r="R420" s="207"/>
      <c r="S420" s="207"/>
    </row>
    <row r="421">
      <c r="A421" s="33"/>
      <c r="B421" s="33" t="s">
        <v>891</v>
      </c>
      <c r="C421" s="12" t="s">
        <v>1452</v>
      </c>
      <c r="D421" s="12" t="s">
        <v>483</v>
      </c>
      <c r="E421" s="15" t="s">
        <v>917</v>
      </c>
      <c r="F421" s="123">
        <f t="shared" si="1"/>
        <v>2</v>
      </c>
      <c r="G421" s="121" t="s">
        <v>1453</v>
      </c>
      <c r="H421" s="12"/>
      <c r="I421" s="192" t="str">
        <f>IFERROR(__xludf.DUMMYFUNCTION("regexreplace(lower(C421), ""_"", """")"),"hematologyplateletcount")</f>
        <v>hematologyplateletcount</v>
      </c>
      <c r="J421" s="192" t="b">
        <f t="shared" si="30"/>
        <v>1</v>
      </c>
      <c r="K421" s="192" t="str">
        <f>IFERROR(__xludf.DUMMYFUNCTION("regexreplace(G421, ""_"", """")"),"hematologyplateletcount")</f>
        <v>hematologyplateletcount</v>
      </c>
      <c r="L4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""$1$2"")"),"hematology_platelet_count")</f>
        <v>hematology_platelet_count</v>
      </c>
      <c r="N421" s="151"/>
      <c r="P421" s="151" t="s">
        <v>1454</v>
      </c>
      <c r="Q421" s="151" t="s">
        <v>1455</v>
      </c>
      <c r="R421" s="207"/>
      <c r="S421" s="207"/>
    </row>
    <row r="422">
      <c r="A422" s="33"/>
      <c r="B422" s="33" t="s">
        <v>891</v>
      </c>
      <c r="C422" s="12" t="s">
        <v>1456</v>
      </c>
      <c r="D422" s="12" t="s">
        <v>483</v>
      </c>
      <c r="E422" s="15" t="s">
        <v>920</v>
      </c>
      <c r="F422" s="123">
        <f t="shared" si="1"/>
        <v>2</v>
      </c>
      <c r="G422" s="121" t="s">
        <v>7649</v>
      </c>
      <c r="H422" s="12"/>
      <c r="I422" s="192" t="str">
        <f>IFERROR(__xludf.DUMMYFUNCTION("regexreplace(lower(C422), ""_"", """")"),"hematologypts")</f>
        <v>hematologypts</v>
      </c>
      <c r="J422" s="192" t="b">
        <f t="shared" si="30"/>
        <v>0</v>
      </c>
      <c r="K422" s="192" t="str">
        <f>IFERROR(__xludf.DUMMYFUNCTION("regexreplace(G422, ""_"", """")"),"hematologypt")</f>
        <v>hematologypt</v>
      </c>
      <c r="L4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""$1$2"")"),"hematology_p_t_s")</f>
        <v>hematology_p_t_s</v>
      </c>
      <c r="N422" s="151"/>
      <c r="P422" s="151" t="s">
        <v>1458</v>
      </c>
      <c r="Q422" s="151" t="s">
        <v>1459</v>
      </c>
      <c r="R422" s="207"/>
      <c r="S422" s="207"/>
    </row>
    <row r="423">
      <c r="A423" s="33"/>
      <c r="B423" s="33" t="s">
        <v>891</v>
      </c>
      <c r="C423" s="12" t="s">
        <v>1460</v>
      </c>
      <c r="D423" s="12" t="s">
        <v>483</v>
      </c>
      <c r="E423" s="15" t="s">
        <v>923</v>
      </c>
      <c r="F423" s="123">
        <f t="shared" si="1"/>
        <v>2</v>
      </c>
      <c r="G423" s="121" t="s">
        <v>7650</v>
      </c>
      <c r="H423" s="12"/>
      <c r="I423" s="192" t="str">
        <f>IFERROR(__xludf.DUMMYFUNCTION("regexreplace(lower(C423), ""_"", """")"),"hematologyptts")</f>
        <v>hematologyptts</v>
      </c>
      <c r="J423" s="192" t="b">
        <f t="shared" si="30"/>
        <v>0</v>
      </c>
      <c r="K423" s="192" t="str">
        <f>IFERROR(__xludf.DUMMYFUNCTION("regexreplace(G423, ""_"", """")"),"hematologyptt")</f>
        <v>hematologyptt</v>
      </c>
      <c r="L4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""$1$2"")"),"hematology_p_t_t_s")</f>
        <v>hematology_p_t_t_s</v>
      </c>
      <c r="N423" s="151"/>
      <c r="P423" s="151" t="s">
        <v>1462</v>
      </c>
      <c r="Q423" s="151" t="s">
        <v>1463</v>
      </c>
      <c r="R423" s="207"/>
      <c r="S423" s="207"/>
    </row>
    <row r="424">
      <c r="A424" s="33"/>
      <c r="B424" s="33" t="s">
        <v>891</v>
      </c>
      <c r="C424" s="12" t="s">
        <v>1464</v>
      </c>
      <c r="D424" s="12" t="s">
        <v>483</v>
      </c>
      <c r="E424" s="15" t="s">
        <v>1465</v>
      </c>
      <c r="F424" s="123">
        <f t="shared" si="1"/>
        <v>2</v>
      </c>
      <c r="G424" s="121" t="s">
        <v>1466</v>
      </c>
      <c r="H424" s="12"/>
      <c r="I424" s="192" t="str">
        <f>IFERROR(__xludf.DUMMYFUNCTION("regexreplace(lower(C424), ""_"", """")"),"hematologyhematocritmin")</f>
        <v>hematologyhematocritmin</v>
      </c>
      <c r="J424" s="192" t="b">
        <f t="shared" si="30"/>
        <v>1</v>
      </c>
      <c r="K424" s="192" t="str">
        <f>IFERROR(__xludf.DUMMYFUNCTION("regexreplace(G424, ""_"", """")"),"hematologyhematocritmin")</f>
        <v>hematologyhematocritmin</v>
      </c>
      <c r="L4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""$1$2"")"),"hematology_hematocrit_min")</f>
        <v>hematology_hematocrit_min</v>
      </c>
      <c r="N424" s="194" t="s">
        <v>7651</v>
      </c>
      <c r="P424" s="151" t="s">
        <v>1467</v>
      </c>
      <c r="Q424" s="194" t="s">
        <v>1468</v>
      </c>
      <c r="R424" s="207"/>
      <c r="S424" s="207"/>
    </row>
    <row r="425">
      <c r="A425" s="33"/>
      <c r="B425" s="33" t="s">
        <v>891</v>
      </c>
      <c r="C425" s="12" t="s">
        <v>1469</v>
      </c>
      <c r="D425" s="12" t="s">
        <v>26</v>
      </c>
      <c r="E425" s="15" t="s">
        <v>1470</v>
      </c>
      <c r="F425" s="123">
        <f t="shared" si="1"/>
        <v>1</v>
      </c>
      <c r="G425" s="121" t="s">
        <v>1471</v>
      </c>
      <c r="H425" s="12"/>
      <c r="I425" s="192" t="str">
        <f>IFERROR(__xludf.DUMMYFUNCTION("regexreplace(lower(C425), ""_"", """")"),"hematologyhematocritmindate")</f>
        <v>hematologyhematocritmindate</v>
      </c>
      <c r="J425" s="192" t="b">
        <f t="shared" si="30"/>
        <v>1</v>
      </c>
      <c r="K425" s="192" t="str">
        <f>IFERROR(__xludf.DUMMYFUNCTION("regexreplace(G425, ""_"", """")"),"hematologyhematocritmindate")</f>
        <v>hematologyhematocritmindate</v>
      </c>
      <c r="L4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""$1$2"")"),"hematology_hematocrit_min_date")</f>
        <v>hematology_hematocrit_min_date</v>
      </c>
      <c r="N425" s="194" t="s">
        <v>7416</v>
      </c>
      <c r="P425" s="193"/>
      <c r="Q425" s="194" t="s">
        <v>1472</v>
      </c>
    </row>
    <row r="426">
      <c r="A426" s="33"/>
      <c r="B426" s="33" t="s">
        <v>891</v>
      </c>
      <c r="C426" s="12" t="s">
        <v>1473</v>
      </c>
      <c r="D426" s="12" t="s">
        <v>483</v>
      </c>
      <c r="E426" s="15" t="s">
        <v>1474</v>
      </c>
      <c r="F426" s="123">
        <f t="shared" si="1"/>
        <v>2</v>
      </c>
      <c r="G426" s="121" t="s">
        <v>1475</v>
      </c>
      <c r="H426" s="12"/>
      <c r="I426" s="192" t="str">
        <f>IFERROR(__xludf.DUMMYFUNCTION("regexreplace(lower(C426), ""_"", """")"),"hematologyplateletcountmin")</f>
        <v>hematologyplateletcountmin</v>
      </c>
      <c r="J426" s="192" t="b">
        <f t="shared" si="30"/>
        <v>1</v>
      </c>
      <c r="K426" s="192" t="str">
        <f>IFERROR(__xludf.DUMMYFUNCTION("regexreplace(G426, ""_"", """")"),"hematologyplateletcountmin")</f>
        <v>hematologyplateletcountmin</v>
      </c>
      <c r="L4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""$1$2"")"),"hematology_platelet_count_min")</f>
        <v>hematology_platelet_count_min</v>
      </c>
      <c r="N426" s="151"/>
      <c r="P426" s="151" t="s">
        <v>1476</v>
      </c>
      <c r="Q426" s="194" t="s">
        <v>1477</v>
      </c>
      <c r="R426" s="207"/>
      <c r="S426" s="207"/>
    </row>
    <row r="427">
      <c r="A427" s="33"/>
      <c r="B427" s="33" t="s">
        <v>891</v>
      </c>
      <c r="C427" s="12" t="s">
        <v>1478</v>
      </c>
      <c r="D427" s="12" t="s">
        <v>26</v>
      </c>
      <c r="E427" s="15" t="s">
        <v>1479</v>
      </c>
      <c r="F427" s="123">
        <f t="shared" si="1"/>
        <v>1</v>
      </c>
      <c r="G427" s="121" t="s">
        <v>1480</v>
      </c>
      <c r="H427" s="12"/>
      <c r="I427" s="192" t="str">
        <f>IFERROR(__xludf.DUMMYFUNCTION("regexreplace(lower(C427), ""_"", """")"),"hematologyplateletcountmindate")</f>
        <v>hematologyplateletcountmindate</v>
      </c>
      <c r="J427" s="192" t="b">
        <f t="shared" si="30"/>
        <v>1</v>
      </c>
      <c r="K427" s="192" t="str">
        <f>IFERROR(__xludf.DUMMYFUNCTION("regexreplace(G427, ""_"", """")"),"hematologyplateletcountmindate")</f>
        <v>hematologyplateletcountmindate</v>
      </c>
      <c r="L4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""$1$2"")"),"hematology_platelet_count_min_date")</f>
        <v>hematology_platelet_count_min_date</v>
      </c>
      <c r="N427" s="194" t="s">
        <v>7416</v>
      </c>
      <c r="P427" s="193"/>
      <c r="Q427" s="194" t="s">
        <v>1481</v>
      </c>
    </row>
    <row r="428">
      <c r="A428" s="33"/>
      <c r="B428" s="33"/>
      <c r="C428" s="12"/>
      <c r="D428" s="12"/>
      <c r="E428" s="61"/>
      <c r="F428" s="123">
        <f t="shared" si="1"/>
        <v>0</v>
      </c>
      <c r="G428" s="12"/>
      <c r="H428" s="12"/>
      <c r="I428" s="12"/>
      <c r="J428" s="12"/>
      <c r="K428" s="12"/>
      <c r="L428" s="12"/>
      <c r="N428" s="15"/>
      <c r="P428" s="15"/>
      <c r="Q428" s="15"/>
      <c r="R428" s="88"/>
      <c r="S428" s="88"/>
    </row>
    <row r="429">
      <c r="A429" s="33" t="s">
        <v>1241</v>
      </c>
      <c r="B429" s="33" t="s">
        <v>1482</v>
      </c>
      <c r="C429" s="12" t="s">
        <v>1483</v>
      </c>
      <c r="D429" s="12" t="s">
        <v>483</v>
      </c>
      <c r="E429" s="61" t="s">
        <v>1484</v>
      </c>
      <c r="F429" s="123">
        <f t="shared" si="1"/>
        <v>1</v>
      </c>
      <c r="G429" s="121" t="s">
        <v>7652</v>
      </c>
      <c r="H429" s="12"/>
      <c r="I429" s="192" t="str">
        <f>IFERROR(__xludf.DUMMYFUNCTION("regexreplace(lower(C429), ""_"", """")"),"bloodvaluebunbaselinemgperdl")</f>
        <v>bloodvaluebunbaselinemgperdl</v>
      </c>
      <c r="J429" s="192" t="b">
        <f t="shared" ref="J429:J438" si="31">exact(I429, K429)</f>
        <v>0</v>
      </c>
      <c r="K429" s="192" t="str">
        <f>IFERROR(__xludf.DUMMYFUNCTION("regexreplace(G429, ""_"", """")"),"bloodvaluebunmgperdlbaseline")</f>
        <v>bloodvaluebunmgperdlbaseline</v>
      </c>
      <c r="L4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""$1$2"")"),"blood_value_bun_baseline__mgperdl")</f>
        <v>blood_value_bun_baseline__mgperdl</v>
      </c>
      <c r="N429" s="194" t="s">
        <v>7653</v>
      </c>
      <c r="P429" s="151"/>
      <c r="Q429" s="151" t="s">
        <v>1486</v>
      </c>
      <c r="R429" s="207"/>
      <c r="S429" s="207"/>
    </row>
    <row r="430">
      <c r="A430" s="33"/>
      <c r="B430" s="33" t="s">
        <v>1482</v>
      </c>
      <c r="C430" s="12" t="s">
        <v>1487</v>
      </c>
      <c r="D430" s="12" t="s">
        <v>26</v>
      </c>
      <c r="E430" s="61" t="s">
        <v>1488</v>
      </c>
      <c r="F430" s="123">
        <f t="shared" si="1"/>
        <v>1</v>
      </c>
      <c r="G430" s="121" t="s">
        <v>7654</v>
      </c>
      <c r="H430" s="12"/>
      <c r="I430" s="192" t="str">
        <f>IFERROR(__xludf.DUMMYFUNCTION("regexreplace(lower(C430), ""_"", """")"),"bloodvaluebunbaselinemgperdldate")</f>
        <v>bloodvaluebunbaselinemgperdldate</v>
      </c>
      <c r="J430" s="192" t="b">
        <f t="shared" si="31"/>
        <v>0</v>
      </c>
      <c r="K430" s="192" t="str">
        <f>IFERROR(__xludf.DUMMYFUNCTION("regexreplace(G430, ""_"", """")"),"bloodvaluebunmgperdlbaselinedate")</f>
        <v>bloodvaluebunmgperdlbaselinedate</v>
      </c>
      <c r="L4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""$1$2"")"),"blood_value_bun_baseline__mgperdl_date")</f>
        <v>blood_value_bun_baseline__mgperdl_date</v>
      </c>
      <c r="N430" s="194" t="s">
        <v>7416</v>
      </c>
      <c r="P430" s="151"/>
      <c r="Q430" s="151" t="s">
        <v>1490</v>
      </c>
      <c r="R430" s="207"/>
      <c r="S430" s="207"/>
    </row>
    <row r="431">
      <c r="A431" s="33"/>
      <c r="B431" s="33" t="s">
        <v>1482</v>
      </c>
      <c r="C431" s="12" t="s">
        <v>1491</v>
      </c>
      <c r="D431" s="12" t="s">
        <v>483</v>
      </c>
      <c r="E431" s="15" t="s">
        <v>1492</v>
      </c>
      <c r="F431" s="123">
        <f t="shared" si="1"/>
        <v>1</v>
      </c>
      <c r="G431" s="121" t="s">
        <v>7655</v>
      </c>
      <c r="H431" s="12"/>
      <c r="I431" s="192" t="str">
        <f>IFERROR(__xludf.DUMMYFUNCTION("regexreplace(lower(C431), ""_"", """")"),"bloodvaluecreatininebaselinemgperdl")</f>
        <v>bloodvaluecreatininebaselinemgperdl</v>
      </c>
      <c r="J431" s="192" t="b">
        <f t="shared" si="31"/>
        <v>0</v>
      </c>
      <c r="K431" s="192" t="str">
        <f>IFERROR(__xludf.DUMMYFUNCTION("regexreplace(G431, ""_"", """")"),"bloodvaluecreatininemgperdlbaseline")</f>
        <v>bloodvaluecreatininemgperdlbaseline</v>
      </c>
      <c r="L4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""$1$2"")"),"blood_value_creatinine_baseline__mgperdl")</f>
        <v>blood_value_creatinine_baseline__mgperdl</v>
      </c>
      <c r="N431" s="194" t="s">
        <v>7656</v>
      </c>
      <c r="P431" s="151"/>
      <c r="Q431" s="151" t="s">
        <v>1494</v>
      </c>
      <c r="R431" s="207"/>
      <c r="S431" s="207"/>
    </row>
    <row r="432">
      <c r="A432" s="33"/>
      <c r="B432" s="33" t="s">
        <v>1482</v>
      </c>
      <c r="C432" s="12" t="s">
        <v>1495</v>
      </c>
      <c r="D432" s="12" t="s">
        <v>26</v>
      </c>
      <c r="E432" s="15" t="s">
        <v>1496</v>
      </c>
      <c r="F432" s="123">
        <f t="shared" si="1"/>
        <v>1</v>
      </c>
      <c r="G432" s="121" t="s">
        <v>7657</v>
      </c>
      <c r="H432" s="12"/>
      <c r="I432" s="192" t="str">
        <f>IFERROR(__xludf.DUMMYFUNCTION("regexreplace(lower(C432), ""_"", """")"),"bloodvaluecreatininebaselinemgperdldate")</f>
        <v>bloodvaluecreatininebaselinemgperdldate</v>
      </c>
      <c r="J432" s="192" t="b">
        <f t="shared" si="31"/>
        <v>0</v>
      </c>
      <c r="K432" s="192" t="str">
        <f>IFERROR(__xludf.DUMMYFUNCTION("regexreplace(G432, ""_"", """")"),"bloodvaluecreatininemgperdlbaselinedate")</f>
        <v>bloodvaluecreatininemgperdlbaselinedate</v>
      </c>
      <c r="L4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""$1$2"")"),"blood_value_creatinine_baseline__mgperdl_date")</f>
        <v>blood_value_creatinine_baseline__mgperdl_date</v>
      </c>
      <c r="N432" s="194" t="s">
        <v>7416</v>
      </c>
      <c r="P432" s="151"/>
      <c r="Q432" s="151" t="s">
        <v>1498</v>
      </c>
      <c r="R432" s="207"/>
      <c r="S432" s="207"/>
    </row>
    <row r="433">
      <c r="A433" s="33"/>
      <c r="B433" s="33" t="s">
        <v>1482</v>
      </c>
      <c r="C433" s="12" t="s">
        <v>1499</v>
      </c>
      <c r="D433" s="12" t="s">
        <v>483</v>
      </c>
      <c r="E433" s="15" t="s">
        <v>1500</v>
      </c>
      <c r="F433" s="123">
        <f t="shared" si="1"/>
        <v>1</v>
      </c>
      <c r="G433" s="121" t="s">
        <v>7658</v>
      </c>
      <c r="H433" s="12"/>
      <c r="I433" s="192" t="str">
        <f>IFERROR(__xludf.DUMMYFUNCTION("regexreplace(lower(C433), ""_"", """")"),"bloodvalueastsgotbaselineuperl")</f>
        <v>bloodvalueastsgotbaselineuperl</v>
      </c>
      <c r="J433" s="192" t="b">
        <f t="shared" si="31"/>
        <v>0</v>
      </c>
      <c r="K433" s="192" t="str">
        <f>IFERROR(__xludf.DUMMYFUNCTION("regexreplace(G433, ""_"", """")"),"bloodvalueastsgotuperlbaseline")</f>
        <v>bloodvalueastsgotuperlbaseline</v>
      </c>
      <c r="L4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""$1$2"")"),"blood_value_ast_sgot_baseline__uperl")</f>
        <v>blood_value_ast_sgot_baseline__uperl</v>
      </c>
      <c r="N433" s="151"/>
      <c r="P433" s="151"/>
      <c r="Q433" s="151" t="s">
        <v>1502</v>
      </c>
      <c r="R433" s="207"/>
      <c r="S433" s="207"/>
    </row>
    <row r="434">
      <c r="A434" s="33"/>
      <c r="B434" s="33" t="s">
        <v>1482</v>
      </c>
      <c r="C434" s="12" t="s">
        <v>1503</v>
      </c>
      <c r="D434" s="12" t="s">
        <v>26</v>
      </c>
      <c r="E434" s="15" t="s">
        <v>1504</v>
      </c>
      <c r="F434" s="123">
        <f t="shared" si="1"/>
        <v>1</v>
      </c>
      <c r="G434" s="121" t="s">
        <v>7659</v>
      </c>
      <c r="H434" s="12"/>
      <c r="I434" s="192" t="str">
        <f>IFERROR(__xludf.DUMMYFUNCTION("regexreplace(lower(C434), ""_"", """")"),"bloodvalueastsgotbaselineuperldate")</f>
        <v>bloodvalueastsgotbaselineuperldate</v>
      </c>
      <c r="J434" s="192" t="b">
        <f t="shared" si="31"/>
        <v>0</v>
      </c>
      <c r="K434" s="192" t="str">
        <f>IFERROR(__xludf.DUMMYFUNCTION("regexreplace(G434, ""_"", """")"),"bloodvalueastsgotuperlbaselinedate")</f>
        <v>bloodvalueastsgotuperlbaselinedate</v>
      </c>
      <c r="L4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""$1$2"")"),"blood_value_ast_sgot_baseline__uperl_date")</f>
        <v>blood_value_ast_sgot_baseline__uperl_date</v>
      </c>
      <c r="N434" s="194" t="s">
        <v>7416</v>
      </c>
      <c r="P434" s="151"/>
      <c r="Q434" s="151" t="s">
        <v>1506</v>
      </c>
      <c r="R434" s="207"/>
      <c r="S434" s="207"/>
    </row>
    <row r="435">
      <c r="A435" s="33"/>
      <c r="B435" s="33" t="s">
        <v>1482</v>
      </c>
      <c r="C435" s="12" t="s">
        <v>1507</v>
      </c>
      <c r="D435" s="12" t="s">
        <v>483</v>
      </c>
      <c r="E435" s="15" t="s">
        <v>1508</v>
      </c>
      <c r="F435" s="123">
        <f t="shared" si="1"/>
        <v>1</v>
      </c>
      <c r="G435" s="121" t="s">
        <v>7660</v>
      </c>
      <c r="H435" s="12"/>
      <c r="I435" s="192" t="str">
        <f>IFERROR(__xludf.DUMMYFUNCTION("regexreplace(lower(C435), ""_"", """")"),"bloodvaluealtsgptbaselineuperl")</f>
        <v>bloodvaluealtsgptbaselineuperl</v>
      </c>
      <c r="J435" s="192" t="b">
        <f t="shared" si="31"/>
        <v>0</v>
      </c>
      <c r="K435" s="192" t="str">
        <f>IFERROR(__xludf.DUMMYFUNCTION("regexreplace(G435, ""_"", """")"),"bloodvaluealtsgptuperlbaseline")</f>
        <v>bloodvaluealtsgptuperlbaseline</v>
      </c>
      <c r="L4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""$1$2"")"),"blood_value_alt_sgpt_baseline__uperl")</f>
        <v>blood_value_alt_sgpt_baseline__uperl</v>
      </c>
      <c r="N435" s="151"/>
      <c r="P435" s="151"/>
      <c r="Q435" s="151" t="s">
        <v>1510</v>
      </c>
      <c r="R435" s="207"/>
      <c r="S435" s="207"/>
    </row>
    <row r="436">
      <c r="A436" s="33"/>
      <c r="B436" s="33" t="s">
        <v>1482</v>
      </c>
      <c r="C436" s="12" t="s">
        <v>1511</v>
      </c>
      <c r="D436" s="12" t="s">
        <v>26</v>
      </c>
      <c r="E436" s="15" t="s">
        <v>1512</v>
      </c>
      <c r="F436" s="123">
        <f t="shared" si="1"/>
        <v>1</v>
      </c>
      <c r="G436" s="121" t="s">
        <v>7661</v>
      </c>
      <c r="H436" s="12"/>
      <c r="I436" s="192" t="str">
        <f>IFERROR(__xludf.DUMMYFUNCTION("regexreplace(lower(C436), ""_"", """")"),"bloodvaluealtsgptbaselineuperldate")</f>
        <v>bloodvaluealtsgptbaselineuperldate</v>
      </c>
      <c r="J436" s="192" t="b">
        <f t="shared" si="31"/>
        <v>0</v>
      </c>
      <c r="K436" s="192" t="str">
        <f>IFERROR(__xludf.DUMMYFUNCTION("regexreplace(G436, ""_"", """")"),"bloodvaluealtsgptuperlbaselinedate")</f>
        <v>bloodvaluealtsgptuperlbaselinedate</v>
      </c>
      <c r="L4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""$1$2"")"),"blood_value_alt_sgpt_baseline__uperl_date")</f>
        <v>blood_value_alt_sgpt_baseline__uperl_date</v>
      </c>
      <c r="N436" s="194" t="s">
        <v>7416</v>
      </c>
      <c r="P436" s="151"/>
      <c r="Q436" s="151" t="s">
        <v>1514</v>
      </c>
      <c r="R436" s="207"/>
      <c r="S436" s="207"/>
    </row>
    <row r="437">
      <c r="A437" s="33"/>
      <c r="B437" s="33" t="s">
        <v>1482</v>
      </c>
      <c r="C437" s="12" t="s">
        <v>1515</v>
      </c>
      <c r="D437" s="12" t="s">
        <v>483</v>
      </c>
      <c r="E437" s="61" t="s">
        <v>1516</v>
      </c>
      <c r="F437" s="123">
        <f t="shared" si="1"/>
        <v>1</v>
      </c>
      <c r="G437" s="121" t="s">
        <v>7662</v>
      </c>
      <c r="H437" s="12"/>
      <c r="I437" s="192" t="str">
        <f>IFERROR(__xludf.DUMMYFUNCTION("regexreplace(lower(C437), ""_"", """")"),"bloodvaluetotalbilirubinbaselinemgperdl")</f>
        <v>bloodvaluetotalbilirubinbaselinemgperdl</v>
      </c>
      <c r="J437" s="192" t="b">
        <f t="shared" si="31"/>
        <v>0</v>
      </c>
      <c r="K437" s="192" t="str">
        <f>IFERROR(__xludf.DUMMYFUNCTION("regexreplace(G437, ""_"", """")"),"bloodvaluetotalbilirubinmgperdlbaseline")</f>
        <v>bloodvaluetotalbilirubinmgperdlbaseline</v>
      </c>
      <c r="L4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""$1$2"")"),"blood_value_total_bilirubin_baseline__mgperdl")</f>
        <v>blood_value_total_bilirubin_baseline__mgperdl</v>
      </c>
      <c r="N437" s="151"/>
      <c r="P437" s="151"/>
      <c r="Q437" s="151" t="s">
        <v>1518</v>
      </c>
      <c r="R437" s="207"/>
      <c r="S437" s="207"/>
    </row>
    <row r="438">
      <c r="A438" s="33"/>
      <c r="B438" s="33" t="s">
        <v>1482</v>
      </c>
      <c r="C438" s="12" t="s">
        <v>1519</v>
      </c>
      <c r="D438" s="12" t="s">
        <v>26</v>
      </c>
      <c r="E438" s="61" t="s">
        <v>1520</v>
      </c>
      <c r="F438" s="123">
        <f t="shared" si="1"/>
        <v>1</v>
      </c>
      <c r="G438" s="121" t="s">
        <v>7663</v>
      </c>
      <c r="H438" s="12"/>
      <c r="I438" s="192" t="str">
        <f>IFERROR(__xludf.DUMMYFUNCTION("regexreplace(lower(C438), ""_"", """")"),"bloodvaluetotalbilirubinbaselinemgperdldate")</f>
        <v>bloodvaluetotalbilirubinbaselinemgperdldate</v>
      </c>
      <c r="J438" s="192" t="b">
        <f t="shared" si="31"/>
        <v>0</v>
      </c>
      <c r="K438" s="192" t="str">
        <f>IFERROR(__xludf.DUMMYFUNCTION("regexreplace(G438, ""_"", """")"),"bloodvaluetotalbilirubinmgperdlbaselinedate")</f>
        <v>bloodvaluetotalbilirubinmgperdlbaselinedate</v>
      </c>
      <c r="L4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""$1$2"")"),"blood_value_total_bilirubin_baseline__mgperdl_date")</f>
        <v>blood_value_total_bilirubin_baseline__mgperdl_date</v>
      </c>
      <c r="N438" s="194" t="s">
        <v>7416</v>
      </c>
      <c r="P438" s="151"/>
      <c r="Q438" s="151" t="s">
        <v>1522</v>
      </c>
      <c r="R438" s="207"/>
      <c r="S438" s="207"/>
    </row>
    <row r="439">
      <c r="A439" s="33"/>
      <c r="B439" s="33"/>
      <c r="C439" s="12"/>
      <c r="D439" s="12"/>
      <c r="E439" s="61"/>
      <c r="F439" s="123">
        <f t="shared" si="1"/>
        <v>0</v>
      </c>
      <c r="G439" s="121"/>
      <c r="H439" s="12"/>
      <c r="I439" s="192"/>
      <c r="J439" s="192"/>
      <c r="K439" s="192"/>
      <c r="L439" s="121"/>
      <c r="N439" s="151"/>
      <c r="P439" s="151"/>
      <c r="Q439" s="151"/>
      <c r="R439" s="207"/>
      <c r="S439" s="207"/>
    </row>
    <row r="440">
      <c r="A440" s="33" t="s">
        <v>1241</v>
      </c>
      <c r="B440" s="33" t="s">
        <v>1482</v>
      </c>
      <c r="C440" s="12" t="s">
        <v>1523</v>
      </c>
      <c r="D440" s="12" t="s">
        <v>483</v>
      </c>
      <c r="E440" s="61" t="s">
        <v>1524</v>
      </c>
      <c r="F440" s="123">
        <f t="shared" si="1"/>
        <v>2</v>
      </c>
      <c r="G440" s="121" t="s">
        <v>1525</v>
      </c>
      <c r="H440" s="12"/>
      <c r="I440" s="192" t="str">
        <f>IFERROR(__xludf.DUMMYFUNCTION("regexreplace(lower(C440), ""_"", """")"),"bloodvaluephmin")</f>
        <v>bloodvaluephmin</v>
      </c>
      <c r="J440" s="192" t="b">
        <f t="shared" ref="J440:J461" si="32">exact(I440, K440)</f>
        <v>1</v>
      </c>
      <c r="K440" s="192" t="str">
        <f>IFERROR(__xludf.DUMMYFUNCTION("regexreplace(G440, ""_"", """")"),"bloodvaluephmin")</f>
        <v>bloodvaluephmin</v>
      </c>
      <c r="L4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""$1$2"")"),"blood_value_ph_min")</f>
        <v>blood_value_ph_min</v>
      </c>
      <c r="N440" s="194" t="s">
        <v>7417</v>
      </c>
      <c r="P440" s="151" t="s">
        <v>1526</v>
      </c>
      <c r="Q440" s="151" t="s">
        <v>1527</v>
      </c>
      <c r="R440" s="207"/>
      <c r="S440" s="207"/>
    </row>
    <row r="441">
      <c r="A441" s="33"/>
      <c r="B441" s="33" t="s">
        <v>1482</v>
      </c>
      <c r="C441" s="12" t="s">
        <v>1528</v>
      </c>
      <c r="D441" s="12" t="s">
        <v>26</v>
      </c>
      <c r="E441" s="61" t="s">
        <v>1529</v>
      </c>
      <c r="F441" s="123">
        <f t="shared" si="1"/>
        <v>2</v>
      </c>
      <c r="G441" s="121" t="s">
        <v>1530</v>
      </c>
      <c r="H441" s="12"/>
      <c r="I441" s="192" t="str">
        <f>IFERROR(__xludf.DUMMYFUNCTION("regexreplace(lower(C441), ""_"", """")"),"bloodvaluephmindate")</f>
        <v>bloodvaluephmindate</v>
      </c>
      <c r="J441" s="192" t="b">
        <f t="shared" si="32"/>
        <v>1</v>
      </c>
      <c r="K441" s="192" t="str">
        <f>IFERROR(__xludf.DUMMYFUNCTION("regexreplace(G441, ""_"", """")"),"bloodvaluephmindate")</f>
        <v>bloodvaluephmindate</v>
      </c>
      <c r="L4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""$1$2"")"),"blood_value_ph_min_date")</f>
        <v>blood_value_ph_min_date</v>
      </c>
      <c r="N441" s="194" t="s">
        <v>7416</v>
      </c>
      <c r="P441" s="194" t="s">
        <v>1531</v>
      </c>
      <c r="Q441" s="151" t="s">
        <v>1532</v>
      </c>
      <c r="R441" s="207"/>
      <c r="S441" s="207"/>
    </row>
    <row r="442">
      <c r="A442" s="33"/>
      <c r="B442" s="33" t="s">
        <v>1482</v>
      </c>
      <c r="C442" s="12" t="s">
        <v>1533</v>
      </c>
      <c r="D442" s="12" t="s">
        <v>483</v>
      </c>
      <c r="E442" s="15" t="s">
        <v>1534</v>
      </c>
      <c r="F442" s="123">
        <f t="shared" si="1"/>
        <v>2</v>
      </c>
      <c r="G442" s="121" t="s">
        <v>7664</v>
      </c>
      <c r="H442" s="12"/>
      <c r="I442" s="192" t="str">
        <f>IFERROR(__xludf.DUMMYFUNCTION("regexreplace(lower(C442), ""_"", """")"),"bloodvaluehco3minmeqperl")</f>
        <v>bloodvaluehco3minmeqperl</v>
      </c>
      <c r="J442" s="192" t="b">
        <f t="shared" si="32"/>
        <v>0</v>
      </c>
      <c r="K442" s="192" t="str">
        <f>IFERROR(__xludf.DUMMYFUNCTION("regexreplace(G442, ""_"", """")"),"bloodvaluehco3meqperlmin")</f>
        <v>bloodvaluehco3meqperlmin</v>
      </c>
      <c r="L4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""$1$2"")"),"blood_value_hco3min__meqperl")</f>
        <v>blood_value_hco3min__meqperl</v>
      </c>
      <c r="N442" s="194" t="s">
        <v>7420</v>
      </c>
      <c r="P442" s="151" t="s">
        <v>1536</v>
      </c>
      <c r="Q442" s="194" t="s">
        <v>1537</v>
      </c>
      <c r="R442" s="207"/>
      <c r="S442" s="207"/>
    </row>
    <row r="443">
      <c r="A443" s="33"/>
      <c r="B443" s="33" t="s">
        <v>1482</v>
      </c>
      <c r="C443" s="12" t="s">
        <v>1538</v>
      </c>
      <c r="D443" s="12" t="s">
        <v>26</v>
      </c>
      <c r="E443" s="15" t="s">
        <v>1539</v>
      </c>
      <c r="F443" s="123">
        <f t="shared" si="1"/>
        <v>2</v>
      </c>
      <c r="G443" s="121" t="s">
        <v>7665</v>
      </c>
      <c r="H443" s="12"/>
      <c r="I443" s="192" t="str">
        <f>IFERROR(__xludf.DUMMYFUNCTION("regexreplace(lower(C443), ""_"", """")"),"bloodvaluehco3minmeqperldate")</f>
        <v>bloodvaluehco3minmeqperldate</v>
      </c>
      <c r="J443" s="192" t="b">
        <f t="shared" si="32"/>
        <v>0</v>
      </c>
      <c r="K443" s="192" t="str">
        <f>IFERROR(__xludf.DUMMYFUNCTION("regexreplace(G443, ""_"", """")"),"bloodvaluehco3meqperlmindate")</f>
        <v>bloodvaluehco3meqperlmindate</v>
      </c>
      <c r="L4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""$1$2"")"),"blood_value_hco3min__meqperl_date")</f>
        <v>blood_value_hco3min__meqperl_date</v>
      </c>
      <c r="N443" s="194" t="s">
        <v>7416</v>
      </c>
      <c r="P443" s="151" t="s">
        <v>1541</v>
      </c>
      <c r="Q443" s="194" t="s">
        <v>1542</v>
      </c>
      <c r="R443" s="207"/>
      <c r="S443" s="207"/>
    </row>
    <row r="444">
      <c r="A444" s="33"/>
      <c r="B444" s="33" t="s">
        <v>1482</v>
      </c>
      <c r="C444" s="12" t="s">
        <v>1543</v>
      </c>
      <c r="D444" s="12" t="s">
        <v>483</v>
      </c>
      <c r="E444" s="15" t="s">
        <v>1544</v>
      </c>
      <c r="F444" s="123">
        <f t="shared" si="1"/>
        <v>2</v>
      </c>
      <c r="G444" s="121" t="s">
        <v>7666</v>
      </c>
      <c r="H444" s="12"/>
      <c r="I444" s="192" t="str">
        <f>IFERROR(__xludf.DUMMYFUNCTION("regexreplace(lower(C444), ""_"", """")"),"bloodvalueserumnaminmeqperl")</f>
        <v>bloodvalueserumnaminmeqperl</v>
      </c>
      <c r="J444" s="192" t="b">
        <f t="shared" si="32"/>
        <v>0</v>
      </c>
      <c r="K444" s="192" t="str">
        <f>IFERROR(__xludf.DUMMYFUNCTION("regexreplace(G444, ""_"", """")"),"bloodvalueserumnameqperlmin")</f>
        <v>bloodvalueserumnameqperlmin</v>
      </c>
      <c r="L4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""$1$2"")"),"blood_value_serum_na_min__meqperl")</f>
        <v>blood_value_serum_na_min__meqperl</v>
      </c>
      <c r="N444" s="194"/>
      <c r="P444" s="194" t="s">
        <v>1546</v>
      </c>
      <c r="Q444" s="151" t="s">
        <v>1547</v>
      </c>
      <c r="R444" s="207"/>
      <c r="S444" s="207"/>
    </row>
    <row r="445">
      <c r="A445" s="33"/>
      <c r="B445" s="33" t="s">
        <v>1482</v>
      </c>
      <c r="C445" s="12" t="s">
        <v>1548</v>
      </c>
      <c r="D445" s="12" t="s">
        <v>26</v>
      </c>
      <c r="E445" s="15" t="s">
        <v>1549</v>
      </c>
      <c r="F445" s="123">
        <f t="shared" si="1"/>
        <v>2</v>
      </c>
      <c r="G445" s="121" t="s">
        <v>7667</v>
      </c>
      <c r="H445" s="12"/>
      <c r="I445" s="192" t="str">
        <f>IFERROR(__xludf.DUMMYFUNCTION("regexreplace(lower(C445), ""_"", """")"),"bloodvalueserumnaminmeqperldate")</f>
        <v>bloodvalueserumnaminmeqperldate</v>
      </c>
      <c r="J445" s="192" t="b">
        <f t="shared" si="32"/>
        <v>0</v>
      </c>
      <c r="K445" s="192" t="str">
        <f>IFERROR(__xludf.DUMMYFUNCTION("regexreplace(G445, ""_"", """")"),"bloodvalueserumnameqperlmindate")</f>
        <v>bloodvalueserumnameqperlmindate</v>
      </c>
      <c r="L4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""$1$2"")"),"blood_value_serum_na_min__meqperl_date")</f>
        <v>blood_value_serum_na_min__meqperl_date</v>
      </c>
      <c r="N445" s="194" t="s">
        <v>7416</v>
      </c>
      <c r="P445" s="194" t="s">
        <v>1551</v>
      </c>
      <c r="Q445" s="151" t="s">
        <v>1552</v>
      </c>
      <c r="R445" s="207"/>
      <c r="S445" s="207"/>
    </row>
    <row r="446">
      <c r="A446" s="33"/>
      <c r="B446" s="33" t="s">
        <v>1482</v>
      </c>
      <c r="C446" s="12" t="s">
        <v>1553</v>
      </c>
      <c r="D446" s="12" t="s">
        <v>483</v>
      </c>
      <c r="E446" s="61" t="s">
        <v>1554</v>
      </c>
      <c r="F446" s="123">
        <f t="shared" si="1"/>
        <v>2</v>
      </c>
      <c r="G446" s="121" t="s">
        <v>7668</v>
      </c>
      <c r="H446" s="12"/>
      <c r="I446" s="192" t="str">
        <f>IFERROR(__xludf.DUMMYFUNCTION("regexreplace(lower(C446), ""_"", """")"),"bloodvalueserumkminmeqperl")</f>
        <v>bloodvalueserumkminmeqperl</v>
      </c>
      <c r="J446" s="192" t="b">
        <f t="shared" si="32"/>
        <v>0</v>
      </c>
      <c r="K446" s="192" t="str">
        <f>IFERROR(__xludf.DUMMYFUNCTION("regexreplace(G446, ""_"", """")"),"bloodvalueserumkmeqperlmin")</f>
        <v>bloodvalueserumkmeqperlmin</v>
      </c>
      <c r="L4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""$1$2"")"),"blood_value_serum_k_min__meqperl")</f>
        <v>blood_value_serum_k_min__meqperl</v>
      </c>
      <c r="N446" s="194"/>
      <c r="P446" s="194" t="s">
        <v>1556</v>
      </c>
      <c r="Q446" s="151" t="s">
        <v>1557</v>
      </c>
    </row>
    <row r="447">
      <c r="A447" s="33"/>
      <c r="B447" s="33" t="s">
        <v>1482</v>
      </c>
      <c r="C447" s="12" t="s">
        <v>1558</v>
      </c>
      <c r="D447" s="12" t="s">
        <v>26</v>
      </c>
      <c r="E447" s="61" t="s">
        <v>1559</v>
      </c>
      <c r="F447" s="123">
        <f t="shared" si="1"/>
        <v>2</v>
      </c>
      <c r="G447" s="121" t="s">
        <v>7669</v>
      </c>
      <c r="H447" s="12"/>
      <c r="I447" s="192" t="str">
        <f>IFERROR(__xludf.DUMMYFUNCTION("regexreplace(lower(C447), ""_"", """")"),"bloodvalueserumkminmeqperldate")</f>
        <v>bloodvalueserumkminmeqperldate</v>
      </c>
      <c r="J447" s="192" t="b">
        <f t="shared" si="32"/>
        <v>0</v>
      </c>
      <c r="K447" s="192" t="str">
        <f>IFERROR(__xludf.DUMMYFUNCTION("regexreplace(G447, ""_"", """")"),"bloodvalueserumkmeqperlmindate")</f>
        <v>bloodvalueserumkmeqperlmindate</v>
      </c>
      <c r="L4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""$1$2"")"),"blood_value_serum_k_min__meqperl_date")</f>
        <v>blood_value_serum_k_min__meqperl_date</v>
      </c>
      <c r="N447" s="194" t="s">
        <v>7416</v>
      </c>
      <c r="P447" s="194" t="s">
        <v>1561</v>
      </c>
      <c r="Q447" s="151" t="s">
        <v>1562</v>
      </c>
    </row>
    <row r="448">
      <c r="A448" s="33"/>
      <c r="B448" s="33" t="s">
        <v>1482</v>
      </c>
      <c r="C448" s="12" t="s">
        <v>1563</v>
      </c>
      <c r="D448" s="12" t="s">
        <v>483</v>
      </c>
      <c r="E448" s="15" t="s">
        <v>1564</v>
      </c>
      <c r="F448" s="123">
        <f t="shared" si="1"/>
        <v>2</v>
      </c>
      <c r="G448" s="121" t="s">
        <v>7670</v>
      </c>
      <c r="H448" s="12"/>
      <c r="I448" s="192" t="str">
        <f>IFERROR(__xludf.DUMMYFUNCTION("regexreplace(lower(C448), ""_"", """")"),"bloodvalueclminmeqperl")</f>
        <v>bloodvalueclminmeqperl</v>
      </c>
      <c r="J448" s="192" t="b">
        <f t="shared" si="32"/>
        <v>0</v>
      </c>
      <c r="K448" s="192" t="str">
        <f>IFERROR(__xludf.DUMMYFUNCTION("regexreplace(G448, ""_"", """")"),"bloodvalueclmeqperlmin")</f>
        <v>bloodvalueclmeqperlmin</v>
      </c>
      <c r="L4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""$1$2"")"),"blood_value_cl_min__meqperl")</f>
        <v>blood_value_cl_min__meqperl</v>
      </c>
      <c r="N448" s="194"/>
      <c r="P448" s="194" t="s">
        <v>1566</v>
      </c>
      <c r="Q448" s="151" t="s">
        <v>1567</v>
      </c>
      <c r="R448" s="207"/>
      <c r="S448" s="207"/>
    </row>
    <row r="449">
      <c r="A449" s="33"/>
      <c r="B449" s="33" t="s">
        <v>1482</v>
      </c>
      <c r="C449" s="12" t="s">
        <v>1568</v>
      </c>
      <c r="D449" s="12" t="s">
        <v>26</v>
      </c>
      <c r="E449" s="15" t="s">
        <v>1569</v>
      </c>
      <c r="F449" s="123">
        <f t="shared" si="1"/>
        <v>2</v>
      </c>
      <c r="G449" s="121" t="s">
        <v>7671</v>
      </c>
      <c r="H449" s="12"/>
      <c r="I449" s="192" t="str">
        <f>IFERROR(__xludf.DUMMYFUNCTION("regexreplace(lower(C449), ""_"", """")"),"bloodvalueclminmeqperldate")</f>
        <v>bloodvalueclminmeqperldate</v>
      </c>
      <c r="J449" s="192" t="b">
        <f t="shared" si="32"/>
        <v>0</v>
      </c>
      <c r="K449" s="192" t="str">
        <f>IFERROR(__xludf.DUMMYFUNCTION("regexreplace(G449, ""_"", """")"),"bloodvalueclmeqperlmindate")</f>
        <v>bloodvalueclmeqperlmindate</v>
      </c>
      <c r="L4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""$1$2"")"),"blood_value_cl_min__meqperl_date")</f>
        <v>blood_value_cl_min__meqperl_date</v>
      </c>
      <c r="N449" s="194" t="s">
        <v>7416</v>
      </c>
      <c r="P449" s="194" t="s">
        <v>1571</v>
      </c>
      <c r="Q449" s="151" t="s">
        <v>1572</v>
      </c>
      <c r="R449" s="207"/>
      <c r="S449" s="207"/>
    </row>
    <row r="450">
      <c r="A450" s="33"/>
      <c r="B450" s="33" t="s">
        <v>1482</v>
      </c>
      <c r="C450" s="12" t="s">
        <v>1573</v>
      </c>
      <c r="D450" s="12" t="s">
        <v>483</v>
      </c>
      <c r="E450" s="15" t="s">
        <v>1574</v>
      </c>
      <c r="F450" s="123">
        <f t="shared" si="1"/>
        <v>2</v>
      </c>
      <c r="G450" s="121" t="s">
        <v>7672</v>
      </c>
      <c r="H450" s="12"/>
      <c r="I450" s="192" t="str">
        <f>IFERROR(__xludf.DUMMYFUNCTION("regexreplace(lower(C450), ""_"", """")"),"bloodvalueglucoseminmgperdl")</f>
        <v>bloodvalueglucoseminmgperdl</v>
      </c>
      <c r="J450" s="192" t="b">
        <f t="shared" si="32"/>
        <v>0</v>
      </c>
      <c r="K450" s="192" t="str">
        <f>IFERROR(__xludf.DUMMYFUNCTION("regexreplace(G450, ""_"", """")"),"bloodvalueglucosemgperdlmin")</f>
        <v>bloodvalueglucosemgperdlmin</v>
      </c>
      <c r="L4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""$1$2"")"),"blood_value_glucose_min__mgperdl")</f>
        <v>blood_value_glucose_min__mgperdl</v>
      </c>
      <c r="N450" s="194" t="s">
        <v>7673</v>
      </c>
      <c r="P450" s="194" t="s">
        <v>1576</v>
      </c>
      <c r="Q450" s="151" t="s">
        <v>1577</v>
      </c>
      <c r="R450" s="207"/>
      <c r="S450" s="207"/>
    </row>
    <row r="451">
      <c r="A451" s="33"/>
      <c r="B451" s="33" t="s">
        <v>1482</v>
      </c>
      <c r="C451" s="12" t="s">
        <v>1578</v>
      </c>
      <c r="D451" s="12" t="s">
        <v>26</v>
      </c>
      <c r="E451" s="15" t="s">
        <v>1579</v>
      </c>
      <c r="F451" s="123">
        <f t="shared" si="1"/>
        <v>2</v>
      </c>
      <c r="G451" s="121" t="s">
        <v>7674</v>
      </c>
      <c r="H451" s="12"/>
      <c r="I451" s="192" t="str">
        <f>IFERROR(__xludf.DUMMYFUNCTION("regexreplace(lower(C451), ""_"", """")"),"bloodvalueglucoseminmgperdldate")</f>
        <v>bloodvalueglucoseminmgperdldate</v>
      </c>
      <c r="J451" s="192" t="b">
        <f t="shared" si="32"/>
        <v>0</v>
      </c>
      <c r="K451" s="192" t="str">
        <f>IFERROR(__xludf.DUMMYFUNCTION("regexreplace(G451, ""_"", """")"),"bloodvalueglucosemgperdlmindate")</f>
        <v>bloodvalueglucosemgperdlmindate</v>
      </c>
      <c r="L4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""$1$2"")"),"blood_value_glucose_min__mgperdl_date")</f>
        <v>blood_value_glucose_min__mgperdl_date</v>
      </c>
      <c r="N451" s="194" t="s">
        <v>7416</v>
      </c>
      <c r="P451" s="194" t="s">
        <v>1581</v>
      </c>
      <c r="Q451" s="151" t="s">
        <v>1582</v>
      </c>
      <c r="R451" s="207"/>
      <c r="S451" s="207"/>
    </row>
    <row r="452">
      <c r="A452" s="33"/>
      <c r="B452" s="33" t="s">
        <v>1482</v>
      </c>
      <c r="C452" s="12" t="s">
        <v>1583</v>
      </c>
      <c r="D452" s="12" t="s">
        <v>483</v>
      </c>
      <c r="E452" s="15" t="s">
        <v>1584</v>
      </c>
      <c r="F452" s="123">
        <f t="shared" si="1"/>
        <v>2</v>
      </c>
      <c r="G452" s="121" t="s">
        <v>7675</v>
      </c>
      <c r="H452" s="12"/>
      <c r="I452" s="192" t="str">
        <f>IFERROR(__xludf.DUMMYFUNCTION("regexreplace(lower(C452), ""_"", """")"),"bloodvaluetotalcaminmgperdl")</f>
        <v>bloodvaluetotalcaminmgperdl</v>
      </c>
      <c r="J452" s="192" t="b">
        <f t="shared" si="32"/>
        <v>0</v>
      </c>
      <c r="K452" s="192" t="str">
        <f>IFERROR(__xludf.DUMMYFUNCTION("regexreplace(G452, ""_"", """")"),"bloodvaluetotalcamgperdlmin")</f>
        <v>bloodvaluetotalcamgperdlmin</v>
      </c>
      <c r="L4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""$1$2"")"),"blood_value_total_ca_min__mgperdl")</f>
        <v>blood_value_total_ca_min__mgperdl</v>
      </c>
      <c r="N452" s="194"/>
      <c r="P452" s="194" t="s">
        <v>1586</v>
      </c>
      <c r="Q452" s="151" t="s">
        <v>1587</v>
      </c>
      <c r="R452" s="207"/>
      <c r="S452" s="207"/>
    </row>
    <row r="453">
      <c r="A453" s="33"/>
      <c r="B453" s="33" t="s">
        <v>1482</v>
      </c>
      <c r="C453" s="12" t="s">
        <v>1588</v>
      </c>
      <c r="D453" s="12" t="s">
        <v>26</v>
      </c>
      <c r="E453" s="15" t="s">
        <v>1589</v>
      </c>
      <c r="F453" s="123">
        <f t="shared" si="1"/>
        <v>2</v>
      </c>
      <c r="G453" s="121" t="s">
        <v>7676</v>
      </c>
      <c r="H453" s="12"/>
      <c r="I453" s="192" t="str">
        <f>IFERROR(__xludf.DUMMYFUNCTION("regexreplace(lower(C453), ""_"", """")"),"bloodvaluetotalcaminmgperdldate")</f>
        <v>bloodvaluetotalcaminmgperdldate</v>
      </c>
      <c r="J453" s="192" t="b">
        <f t="shared" si="32"/>
        <v>0</v>
      </c>
      <c r="K453" s="192" t="str">
        <f>IFERROR(__xludf.DUMMYFUNCTION("regexreplace(G453, ""_"", """")"),"bloodvaluetotalcamgperdlmindate")</f>
        <v>bloodvaluetotalcamgperdlmindate</v>
      </c>
      <c r="L4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""$1$2"")"),"blood_value_total_ca_min__mgperdl_date")</f>
        <v>blood_value_total_ca_min__mgperdl_date</v>
      </c>
      <c r="N453" s="194" t="s">
        <v>7416</v>
      </c>
      <c r="P453" s="194" t="s">
        <v>1591</v>
      </c>
      <c r="Q453" s="151" t="s">
        <v>1592</v>
      </c>
      <c r="R453" s="207"/>
      <c r="S453" s="207"/>
    </row>
    <row r="454">
      <c r="A454" s="33"/>
      <c r="B454" s="33" t="s">
        <v>1482</v>
      </c>
      <c r="C454" s="12" t="s">
        <v>1593</v>
      </c>
      <c r="D454" s="12" t="s">
        <v>483</v>
      </c>
      <c r="E454" s="15" t="s">
        <v>1594</v>
      </c>
      <c r="F454" s="123">
        <f t="shared" si="1"/>
        <v>2</v>
      </c>
      <c r="G454" s="121" t="s">
        <v>7677</v>
      </c>
      <c r="H454" s="12"/>
      <c r="I454" s="192" t="str">
        <f>IFERROR(__xludf.DUMMYFUNCTION("regexreplace(lower(C454), ""_"", """")"),"bloodvalueioncaminmgperdl")</f>
        <v>bloodvalueioncaminmgperdl</v>
      </c>
      <c r="J454" s="192" t="b">
        <f t="shared" si="32"/>
        <v>0</v>
      </c>
      <c r="K454" s="192" t="str">
        <f>IFERROR(__xludf.DUMMYFUNCTION("regexreplace(G454, ""_"", """")"),"bloodvalueioncamgperdlmin")</f>
        <v>bloodvalueioncamgperdlmin</v>
      </c>
      <c r="L4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""$1$2"")"),"blood_value_ion_ca_min__mgperdl")</f>
        <v>blood_value_ion_ca_min__mgperdl</v>
      </c>
      <c r="N454" s="194"/>
      <c r="P454" s="194" t="s">
        <v>1596</v>
      </c>
      <c r="Q454" s="151" t="s">
        <v>1597</v>
      </c>
      <c r="R454" s="207"/>
      <c r="S454" s="207"/>
    </row>
    <row r="455">
      <c r="A455" s="33"/>
      <c r="B455" s="33" t="s">
        <v>1482</v>
      </c>
      <c r="C455" s="12" t="s">
        <v>1598</v>
      </c>
      <c r="D455" s="12" t="s">
        <v>26</v>
      </c>
      <c r="E455" s="15" t="s">
        <v>1599</v>
      </c>
      <c r="F455" s="123">
        <f t="shared" si="1"/>
        <v>2</v>
      </c>
      <c r="G455" s="121" t="s">
        <v>7678</v>
      </c>
      <c r="H455" s="12"/>
      <c r="I455" s="192" t="str">
        <f>IFERROR(__xludf.DUMMYFUNCTION("regexreplace(lower(C455), ""_"", """")"),"bloodvalueioncaminmgperdldate")</f>
        <v>bloodvalueioncaminmgperdldate</v>
      </c>
      <c r="J455" s="192" t="b">
        <f t="shared" si="32"/>
        <v>0</v>
      </c>
      <c r="K455" s="192" t="str">
        <f>IFERROR(__xludf.DUMMYFUNCTION("regexreplace(G455, ""_"", """")"),"bloodvalueioncamgperdlmindate")</f>
        <v>bloodvalueioncamgperdlmindate</v>
      </c>
      <c r="L4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""$1$2"")"),"blood_value_ion_ca_min__mgperdl_date")</f>
        <v>blood_value_ion_ca_min__mgperdl_date</v>
      </c>
      <c r="N455" s="194" t="s">
        <v>7416</v>
      </c>
      <c r="P455" s="194" t="s">
        <v>1601</v>
      </c>
      <c r="Q455" s="151" t="s">
        <v>1602</v>
      </c>
      <c r="R455" s="207"/>
      <c r="S455" s="207"/>
    </row>
    <row r="456">
      <c r="A456" s="33"/>
      <c r="B456" s="33" t="s">
        <v>1482</v>
      </c>
      <c r="C456" s="12" t="s">
        <v>1603</v>
      </c>
      <c r="D456" s="12" t="s">
        <v>483</v>
      </c>
      <c r="E456" s="15" t="s">
        <v>1604</v>
      </c>
      <c r="F456" s="123">
        <f t="shared" si="1"/>
        <v>1</v>
      </c>
      <c r="G456" s="121" t="s">
        <v>7679</v>
      </c>
      <c r="H456" s="12"/>
      <c r="I456" s="192" t="str">
        <f>IFERROR(__xludf.DUMMYFUNCTION("regexreplace(lower(C456), ""_"", """")"),"bloodvalueastsgotminuperl")</f>
        <v>bloodvalueastsgotminuperl</v>
      </c>
      <c r="J456" s="192" t="b">
        <f t="shared" si="32"/>
        <v>0</v>
      </c>
      <c r="K456" s="192" t="str">
        <f>IFERROR(__xludf.DUMMYFUNCTION("regexreplace(G456, ""_"", """")"),"bloodvalueastsgotuperlmin")</f>
        <v>bloodvalueastsgotuperlmin</v>
      </c>
      <c r="L4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""$1$2"")"),"blood_value_ast_sgot_min__uperl")</f>
        <v>blood_value_ast_sgot_min__uperl</v>
      </c>
      <c r="N456" s="151"/>
      <c r="P456" s="151"/>
      <c r="Q456" s="151" t="s">
        <v>1606</v>
      </c>
      <c r="R456" s="207"/>
      <c r="S456" s="207"/>
    </row>
    <row r="457">
      <c r="A457" s="33"/>
      <c r="B457" s="33" t="s">
        <v>1482</v>
      </c>
      <c r="C457" s="12" t="s">
        <v>1607</v>
      </c>
      <c r="D457" s="12" t="s">
        <v>26</v>
      </c>
      <c r="E457" s="15" t="s">
        <v>1608</v>
      </c>
      <c r="F457" s="123">
        <f t="shared" si="1"/>
        <v>1</v>
      </c>
      <c r="G457" s="121" t="s">
        <v>7680</v>
      </c>
      <c r="H457" s="12"/>
      <c r="I457" s="192" t="str">
        <f>IFERROR(__xludf.DUMMYFUNCTION("regexreplace(lower(C457), ""_"", """")"),"bloodvalueastsgotminuperldate")</f>
        <v>bloodvalueastsgotminuperldate</v>
      </c>
      <c r="J457" s="192" t="b">
        <f t="shared" si="32"/>
        <v>0</v>
      </c>
      <c r="K457" s="192" t="str">
        <f>IFERROR(__xludf.DUMMYFUNCTION("regexreplace(G457, ""_"", """")"),"bloodvalueastsgotuperlmindate")</f>
        <v>bloodvalueastsgotuperlmindate</v>
      </c>
      <c r="L4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""$1$2"")"),"blood_value_ast_sgot_min__uperl_date")</f>
        <v>blood_value_ast_sgot_min__uperl_date</v>
      </c>
      <c r="N457" s="194" t="s">
        <v>7416</v>
      </c>
      <c r="P457" s="151"/>
      <c r="Q457" s="151" t="s">
        <v>1610</v>
      </c>
      <c r="R457" s="207"/>
      <c r="S457" s="207"/>
    </row>
    <row r="458">
      <c r="A458" s="33"/>
      <c r="B458" s="33" t="s">
        <v>1482</v>
      </c>
      <c r="C458" s="12" t="s">
        <v>1611</v>
      </c>
      <c r="D458" s="12" t="s">
        <v>483</v>
      </c>
      <c r="E458" s="15" t="s">
        <v>1612</v>
      </c>
      <c r="F458" s="123">
        <f t="shared" si="1"/>
        <v>1</v>
      </c>
      <c r="G458" s="121" t="s">
        <v>7681</v>
      </c>
      <c r="H458" s="12"/>
      <c r="I458" s="192" t="str">
        <f>IFERROR(__xludf.DUMMYFUNCTION("regexreplace(lower(C458), ""_"", """")"),"bloodvaluealtsgptminuperl")</f>
        <v>bloodvaluealtsgptminuperl</v>
      </c>
      <c r="J458" s="192" t="b">
        <f t="shared" si="32"/>
        <v>0</v>
      </c>
      <c r="K458" s="192" t="str">
        <f>IFERROR(__xludf.DUMMYFUNCTION("regexreplace(G458, ""_"", """")"),"bloodvaluealtsgptuperlmin")</f>
        <v>bloodvaluealtsgptuperlmin</v>
      </c>
      <c r="L4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""$1$2"")"),"blood_value_alt_sgpt_min__uperl")</f>
        <v>blood_value_alt_sgpt_min__uperl</v>
      </c>
      <c r="N458" s="151"/>
      <c r="P458" s="151"/>
      <c r="Q458" s="151" t="s">
        <v>1614</v>
      </c>
      <c r="R458" s="207"/>
      <c r="S458" s="207"/>
    </row>
    <row r="459">
      <c r="A459" s="33"/>
      <c r="B459" s="33" t="s">
        <v>1482</v>
      </c>
      <c r="C459" s="12" t="s">
        <v>1615</v>
      </c>
      <c r="D459" s="12" t="s">
        <v>26</v>
      </c>
      <c r="E459" s="15" t="s">
        <v>1616</v>
      </c>
      <c r="F459" s="123">
        <f t="shared" si="1"/>
        <v>1</v>
      </c>
      <c r="G459" s="121" t="s">
        <v>7682</v>
      </c>
      <c r="H459" s="12"/>
      <c r="I459" s="192" t="str">
        <f>IFERROR(__xludf.DUMMYFUNCTION("regexreplace(lower(C459), ""_"", """")"),"bloodvaluealtsgptminuperldate")</f>
        <v>bloodvaluealtsgptminuperldate</v>
      </c>
      <c r="J459" s="192" t="b">
        <f t="shared" si="32"/>
        <v>0</v>
      </c>
      <c r="K459" s="192" t="str">
        <f>IFERROR(__xludf.DUMMYFUNCTION("regexreplace(G459, ""_"", """")"),"bloodvaluealtsgptuperlmindate")</f>
        <v>bloodvaluealtsgptuperlmindate</v>
      </c>
      <c r="L4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""$1$2"")"),"blood_value_alt_sgpt_min__uperl_date")</f>
        <v>blood_value_alt_sgpt_min__uperl_date</v>
      </c>
      <c r="N459" s="194" t="s">
        <v>7416</v>
      </c>
      <c r="P459" s="151"/>
      <c r="Q459" s="151" t="s">
        <v>1618</v>
      </c>
      <c r="R459" s="207"/>
      <c r="S459" s="207"/>
    </row>
    <row r="460">
      <c r="A460" s="33"/>
      <c r="B460" s="33" t="s">
        <v>1482</v>
      </c>
      <c r="C460" s="12" t="s">
        <v>1619</v>
      </c>
      <c r="D460" s="12" t="s">
        <v>483</v>
      </c>
      <c r="E460" s="61" t="s">
        <v>1620</v>
      </c>
      <c r="F460" s="123">
        <f t="shared" si="1"/>
        <v>1</v>
      </c>
      <c r="G460" s="121" t="s">
        <v>7683</v>
      </c>
      <c r="H460" s="12"/>
      <c r="I460" s="192" t="str">
        <f>IFERROR(__xludf.DUMMYFUNCTION("regexreplace(lower(C460), ""_"", """")"),"bloodvaluetotalbilirubinminmgperdl")</f>
        <v>bloodvaluetotalbilirubinminmgperdl</v>
      </c>
      <c r="J460" s="192" t="b">
        <f t="shared" si="32"/>
        <v>0</v>
      </c>
      <c r="K460" s="192" t="str">
        <f>IFERROR(__xludf.DUMMYFUNCTION("regexreplace(G460, ""_"", """")"),"bloodvaluetotalbilirubinmgperdlmin")</f>
        <v>bloodvaluetotalbilirubinmgperdlmin</v>
      </c>
      <c r="L4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""$1$2"")"),"blood_value_total_bilirubin_min__mgperdl")</f>
        <v>blood_value_total_bilirubin_min__mgperdl</v>
      </c>
      <c r="N460" s="151"/>
      <c r="P460" s="151"/>
      <c r="Q460" s="151" t="s">
        <v>1622</v>
      </c>
      <c r="R460" s="207"/>
      <c r="S460" s="207"/>
    </row>
    <row r="461">
      <c r="A461" s="33"/>
      <c r="B461" s="33" t="s">
        <v>1482</v>
      </c>
      <c r="C461" s="12" t="s">
        <v>1623</v>
      </c>
      <c r="D461" s="12" t="s">
        <v>26</v>
      </c>
      <c r="E461" s="61" t="s">
        <v>1624</v>
      </c>
      <c r="F461" s="123">
        <f t="shared" si="1"/>
        <v>1</v>
      </c>
      <c r="G461" s="121" t="s">
        <v>7684</v>
      </c>
      <c r="H461" s="12"/>
      <c r="I461" s="192" t="str">
        <f>IFERROR(__xludf.DUMMYFUNCTION("regexreplace(lower(C461), ""_"", """")"),"bloodvaluetotalbilirubinminmgperdldate")</f>
        <v>bloodvaluetotalbilirubinminmgperdldate</v>
      </c>
      <c r="J461" s="192" t="b">
        <f t="shared" si="32"/>
        <v>0</v>
      </c>
      <c r="K461" s="192" t="str">
        <f>IFERROR(__xludf.DUMMYFUNCTION("regexreplace(G461, ""_"", """")"),"bloodvaluetotalbilirubinmgperdlmindate")</f>
        <v>bloodvaluetotalbilirubinmgperdlmindate</v>
      </c>
      <c r="L4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""$1$2"")"),"blood_value_total_bilirubin_min__mgperdl_date")</f>
        <v>blood_value_total_bilirubin_min__mgperdl_date</v>
      </c>
      <c r="N461" s="194" t="s">
        <v>7416</v>
      </c>
      <c r="P461" s="151"/>
      <c r="Q461" s="151" t="s">
        <v>1626</v>
      </c>
      <c r="R461" s="207"/>
      <c r="S461" s="207"/>
    </row>
    <row r="462">
      <c r="A462" s="33"/>
      <c r="B462" s="33"/>
      <c r="C462" s="12"/>
      <c r="D462" s="12"/>
      <c r="E462" s="61"/>
      <c r="F462" s="123">
        <f t="shared" si="1"/>
        <v>0</v>
      </c>
      <c r="G462" s="12"/>
      <c r="H462" s="12"/>
      <c r="I462" s="12"/>
      <c r="J462" s="12"/>
      <c r="K462" s="12"/>
      <c r="L462" s="12"/>
      <c r="N462" s="15"/>
      <c r="P462" s="15"/>
      <c r="Q462" s="15"/>
      <c r="R462" s="88"/>
      <c r="S462" s="88"/>
    </row>
    <row r="463">
      <c r="A463" s="33" t="s">
        <v>1241</v>
      </c>
      <c r="B463" s="33" t="s">
        <v>1482</v>
      </c>
      <c r="C463" s="12" t="s">
        <v>1627</v>
      </c>
      <c r="D463" s="12" t="s">
        <v>483</v>
      </c>
      <c r="E463" s="61" t="s">
        <v>1628</v>
      </c>
      <c r="F463" s="123">
        <f t="shared" si="1"/>
        <v>2</v>
      </c>
      <c r="G463" s="121" t="s">
        <v>1629</v>
      </c>
      <c r="H463" s="12"/>
      <c r="I463" s="192" t="str">
        <f>IFERROR(__xludf.DUMMYFUNCTION("regexreplace(lower(C463), ""_"", """")"),"bloodvaluephmax")</f>
        <v>bloodvaluephmax</v>
      </c>
      <c r="J463" s="192" t="b">
        <f t="shared" ref="J463:J488" si="33">exact(I463, K463)</f>
        <v>1</v>
      </c>
      <c r="K463" s="192" t="str">
        <f>IFERROR(__xludf.DUMMYFUNCTION("regexreplace(G463, ""_"", """")"),"bloodvaluephmax")</f>
        <v>bloodvaluephmax</v>
      </c>
      <c r="L4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""$1$2"")"),"blood_value_ph_max")</f>
        <v>blood_value_ph_max</v>
      </c>
      <c r="N463" s="194" t="s">
        <v>7417</v>
      </c>
      <c r="P463" s="151" t="s">
        <v>1630</v>
      </c>
      <c r="Q463" s="151" t="s">
        <v>1631</v>
      </c>
      <c r="R463" s="207"/>
      <c r="S463" s="207"/>
    </row>
    <row r="464">
      <c r="A464" s="33"/>
      <c r="B464" s="33" t="s">
        <v>1482</v>
      </c>
      <c r="C464" s="12" t="s">
        <v>1632</v>
      </c>
      <c r="D464" s="12" t="s">
        <v>26</v>
      </c>
      <c r="E464" s="61" t="s">
        <v>1633</v>
      </c>
      <c r="F464" s="123">
        <f t="shared" si="1"/>
        <v>2</v>
      </c>
      <c r="G464" s="121" t="s">
        <v>1634</v>
      </c>
      <c r="H464" s="12"/>
      <c r="I464" s="192" t="str">
        <f>IFERROR(__xludf.DUMMYFUNCTION("regexreplace(lower(C464), ""_"", """")"),"bloodvaluephmaxdate")</f>
        <v>bloodvaluephmaxdate</v>
      </c>
      <c r="J464" s="192" t="b">
        <f t="shared" si="33"/>
        <v>1</v>
      </c>
      <c r="K464" s="192" t="str">
        <f>IFERROR(__xludf.DUMMYFUNCTION("regexreplace(G464, ""_"", """")"),"bloodvaluephmaxdate")</f>
        <v>bloodvaluephmaxdate</v>
      </c>
      <c r="L4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""$1$2"")"),"blood_value_ph_max_date")</f>
        <v>blood_value_ph_max_date</v>
      </c>
      <c r="N464" s="194" t="s">
        <v>7416</v>
      </c>
      <c r="P464" s="194" t="s">
        <v>1635</v>
      </c>
      <c r="Q464" s="151" t="s">
        <v>1636</v>
      </c>
      <c r="R464" s="207"/>
      <c r="S464" s="207"/>
    </row>
    <row r="465">
      <c r="A465" s="33"/>
      <c r="B465" s="33" t="s">
        <v>1482</v>
      </c>
      <c r="C465" s="12" t="s">
        <v>1637</v>
      </c>
      <c r="D465" s="12" t="s">
        <v>483</v>
      </c>
      <c r="E465" s="61" t="s">
        <v>1638</v>
      </c>
      <c r="F465" s="123">
        <f t="shared" si="1"/>
        <v>2</v>
      </c>
      <c r="G465" s="121" t="s">
        <v>7685</v>
      </c>
      <c r="H465" s="12"/>
      <c r="I465" s="192" t="str">
        <f>IFERROR(__xludf.DUMMYFUNCTION("regexreplace(lower(C465), ""_"", """")"),"bloodvaluebasedeficitmaxmeqperl")</f>
        <v>bloodvaluebasedeficitmaxmeqperl</v>
      </c>
      <c r="J465" s="192" t="b">
        <f t="shared" si="33"/>
        <v>0</v>
      </c>
      <c r="K465" s="192" t="str">
        <f>IFERROR(__xludf.DUMMYFUNCTION("regexreplace(G465, ""_"", """")"),"bloodvaluebasedeficitmeqperlmax")</f>
        <v>bloodvaluebasedeficitmeqperlmax</v>
      </c>
      <c r="L4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""$1$2"")"),"blood_value_base_deficit_max__meqperl")</f>
        <v>blood_value_base_deficit_max__meqperl</v>
      </c>
      <c r="N465" s="194" t="s">
        <v>7421</v>
      </c>
      <c r="P465" s="151" t="s">
        <v>1640</v>
      </c>
      <c r="Q465" s="151" t="s">
        <v>1641</v>
      </c>
      <c r="R465" s="207"/>
      <c r="S465" s="207"/>
    </row>
    <row r="466">
      <c r="A466" s="33"/>
      <c r="B466" s="33" t="s">
        <v>1482</v>
      </c>
      <c r="C466" s="12" t="s">
        <v>1642</v>
      </c>
      <c r="D466" s="12" t="s">
        <v>26</v>
      </c>
      <c r="E466" s="61" t="s">
        <v>1643</v>
      </c>
      <c r="F466" s="123">
        <f t="shared" si="1"/>
        <v>2</v>
      </c>
      <c r="G466" s="121" t="s">
        <v>7686</v>
      </c>
      <c r="H466" s="12"/>
      <c r="I466" s="192" t="str">
        <f>IFERROR(__xludf.DUMMYFUNCTION("regexreplace(lower(C466), ""_"", """")"),"bloodvaluebasedeficitmaxmeqperldate")</f>
        <v>bloodvaluebasedeficitmaxmeqperldate</v>
      </c>
      <c r="J466" s="192" t="b">
        <f t="shared" si="33"/>
        <v>0</v>
      </c>
      <c r="K466" s="192" t="str">
        <f>IFERROR(__xludf.DUMMYFUNCTION("regexreplace(G466, ""_"", """")"),"bloodvaluebasedeficitmeqperlmaxdate")</f>
        <v>bloodvaluebasedeficitmeqperlmaxdate</v>
      </c>
      <c r="L4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""$1$2"")"),"blood_value_base_deficit_max__meqperl_date")</f>
        <v>blood_value_base_deficit_max__meqperl_date</v>
      </c>
      <c r="N466" s="194" t="s">
        <v>7416</v>
      </c>
      <c r="P466" s="194" t="s">
        <v>1645</v>
      </c>
      <c r="Q466" s="151" t="s">
        <v>1646</v>
      </c>
      <c r="R466" s="207"/>
      <c r="S466" s="207"/>
    </row>
    <row r="467">
      <c r="A467" s="33"/>
      <c r="B467" s="33" t="s">
        <v>1482</v>
      </c>
      <c r="C467" s="12" t="s">
        <v>1647</v>
      </c>
      <c r="D467" s="12" t="s">
        <v>483</v>
      </c>
      <c r="E467" s="15" t="s">
        <v>1648</v>
      </c>
      <c r="F467" s="123">
        <f t="shared" si="1"/>
        <v>2</v>
      </c>
      <c r="G467" s="121" t="s">
        <v>7687</v>
      </c>
      <c r="H467" s="12"/>
      <c r="I467" s="192" t="str">
        <f>IFERROR(__xludf.DUMMYFUNCTION("regexreplace(lower(C467), ""_"", """")"),"bloodvalueserumnamaxmeqperl")</f>
        <v>bloodvalueserumnamaxmeqperl</v>
      </c>
      <c r="J467" s="192" t="b">
        <f t="shared" si="33"/>
        <v>0</v>
      </c>
      <c r="K467" s="192" t="str">
        <f>IFERROR(__xludf.DUMMYFUNCTION("regexreplace(G467, ""_"", """")"),"bloodvalueserumnameqperlmax")</f>
        <v>bloodvalueserumnameqperlmax</v>
      </c>
      <c r="L4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""$1$2"")"),"blood_value_serum_na_max__meqperl")</f>
        <v>blood_value_serum_na_max__meqperl</v>
      </c>
      <c r="N467" s="194"/>
      <c r="P467" s="194" t="s">
        <v>1650</v>
      </c>
      <c r="Q467" s="151" t="s">
        <v>1651</v>
      </c>
      <c r="R467" s="207"/>
      <c r="S467" s="207"/>
    </row>
    <row r="468">
      <c r="A468" s="33"/>
      <c r="B468" s="33" t="s">
        <v>1482</v>
      </c>
      <c r="C468" s="12" t="s">
        <v>1652</v>
      </c>
      <c r="D468" s="12" t="s">
        <v>26</v>
      </c>
      <c r="E468" s="15" t="s">
        <v>1653</v>
      </c>
      <c r="F468" s="123">
        <f t="shared" si="1"/>
        <v>2</v>
      </c>
      <c r="G468" s="121" t="s">
        <v>7688</v>
      </c>
      <c r="H468" s="12"/>
      <c r="I468" s="192" t="str">
        <f>IFERROR(__xludf.DUMMYFUNCTION("regexreplace(lower(C468), ""_"", """")"),"bloodvalueserumnamaxmeqperldate")</f>
        <v>bloodvalueserumnamaxmeqperldate</v>
      </c>
      <c r="J468" s="192" t="b">
        <f t="shared" si="33"/>
        <v>0</v>
      </c>
      <c r="K468" s="192" t="str">
        <f>IFERROR(__xludf.DUMMYFUNCTION("regexreplace(G468, ""_"", """")"),"bloodvalueserumnameqperlmaxdate")</f>
        <v>bloodvalueserumnameqperlmaxdate</v>
      </c>
      <c r="L4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""$1$2"")"),"blood_value_serum_na_max__meqperl_date")</f>
        <v>blood_value_serum_na_max__meqperl_date</v>
      </c>
      <c r="N468" s="194"/>
      <c r="P468" s="194" t="s">
        <v>1655</v>
      </c>
      <c r="Q468" s="151" t="s">
        <v>1656</v>
      </c>
      <c r="R468" s="207"/>
      <c r="S468" s="207"/>
    </row>
    <row r="469">
      <c r="A469" s="33"/>
      <c r="B469" s="33" t="s">
        <v>1482</v>
      </c>
      <c r="C469" s="12" t="s">
        <v>1657</v>
      </c>
      <c r="D469" s="12" t="s">
        <v>483</v>
      </c>
      <c r="E469" s="61" t="s">
        <v>1658</v>
      </c>
      <c r="F469" s="123">
        <f t="shared" si="1"/>
        <v>2</v>
      </c>
      <c r="G469" s="121" t="s">
        <v>7689</v>
      </c>
      <c r="H469" s="12"/>
      <c r="I469" s="192" t="str">
        <f>IFERROR(__xludf.DUMMYFUNCTION("regexreplace(lower(C469), ""_"", """")"),"bloodvalueserumkmaxmeqperl")</f>
        <v>bloodvalueserumkmaxmeqperl</v>
      </c>
      <c r="J469" s="192" t="b">
        <f t="shared" si="33"/>
        <v>0</v>
      </c>
      <c r="K469" s="192" t="str">
        <f>IFERROR(__xludf.DUMMYFUNCTION("regexreplace(G469, ""_"", """")"),"bloodvalueserumkmeqperlmax")</f>
        <v>bloodvalueserumkmeqperlmax</v>
      </c>
      <c r="L4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""$1$2"")"),"blood_value_serum_k_max__meqperl")</f>
        <v>blood_value_serum_k_max__meqperl</v>
      </c>
      <c r="N469" s="194"/>
      <c r="P469" s="194" t="s">
        <v>1660</v>
      </c>
      <c r="Q469" s="151" t="s">
        <v>1661</v>
      </c>
    </row>
    <row r="470">
      <c r="A470" s="33"/>
      <c r="B470" s="33" t="s">
        <v>1482</v>
      </c>
      <c r="C470" s="12" t="s">
        <v>1662</v>
      </c>
      <c r="D470" s="12" t="s">
        <v>26</v>
      </c>
      <c r="E470" s="61" t="s">
        <v>1663</v>
      </c>
      <c r="F470" s="123">
        <f t="shared" si="1"/>
        <v>2</v>
      </c>
      <c r="G470" s="121" t="s">
        <v>7690</v>
      </c>
      <c r="H470" s="12"/>
      <c r="I470" s="192" t="str">
        <f>IFERROR(__xludf.DUMMYFUNCTION("regexreplace(lower(C470), ""_"", """")"),"bloodvalueserumkmaxmeqperldate")</f>
        <v>bloodvalueserumkmaxmeqperldate</v>
      </c>
      <c r="J470" s="192" t="b">
        <f t="shared" si="33"/>
        <v>0</v>
      </c>
      <c r="K470" s="192" t="str">
        <f>IFERROR(__xludf.DUMMYFUNCTION("regexreplace(G470, ""_"", """")"),"bloodvalueserumkmeqperlmaxdate")</f>
        <v>bloodvalueserumkmeqperlmaxdate</v>
      </c>
      <c r="L4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""$1$2"")"),"blood_value_serum_k_max__meqperl_date")</f>
        <v>blood_value_serum_k_max__meqperl_date</v>
      </c>
      <c r="N470" s="194"/>
      <c r="P470" s="194" t="s">
        <v>1665</v>
      </c>
      <c r="Q470" s="151" t="s">
        <v>1666</v>
      </c>
    </row>
    <row r="471">
      <c r="A471" s="33"/>
      <c r="B471" s="33" t="s">
        <v>1482</v>
      </c>
      <c r="C471" s="12" t="s">
        <v>1667</v>
      </c>
      <c r="D471" s="12" t="s">
        <v>483</v>
      </c>
      <c r="E471" s="15" t="s">
        <v>1668</v>
      </c>
      <c r="F471" s="123">
        <f t="shared" si="1"/>
        <v>2</v>
      </c>
      <c r="G471" s="121" t="s">
        <v>7691</v>
      </c>
      <c r="H471" s="12"/>
      <c r="I471" s="192" t="str">
        <f>IFERROR(__xludf.DUMMYFUNCTION("regexreplace(lower(C471), ""_"", """")"),"bloodvalueclmaxmeqperl")</f>
        <v>bloodvalueclmaxmeqperl</v>
      </c>
      <c r="J471" s="192" t="b">
        <f t="shared" si="33"/>
        <v>0</v>
      </c>
      <c r="K471" s="192" t="str">
        <f>IFERROR(__xludf.DUMMYFUNCTION("regexreplace(G471, ""_"", """")"),"bloodvalueclmeqperlmax")</f>
        <v>bloodvalueclmeqperlmax</v>
      </c>
      <c r="L4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""$1$2"")"),"blood_value_cl_max__meqperl")</f>
        <v>blood_value_cl_max__meqperl</v>
      </c>
      <c r="N471" s="194"/>
      <c r="P471" s="194" t="s">
        <v>1670</v>
      </c>
      <c r="Q471" s="151" t="s">
        <v>1671</v>
      </c>
      <c r="R471" s="207"/>
      <c r="S471" s="207"/>
    </row>
    <row r="472">
      <c r="A472" s="33"/>
      <c r="B472" s="33" t="s">
        <v>1482</v>
      </c>
      <c r="C472" s="12" t="s">
        <v>1672</v>
      </c>
      <c r="D472" s="12" t="s">
        <v>26</v>
      </c>
      <c r="E472" s="15" t="s">
        <v>1673</v>
      </c>
      <c r="F472" s="123">
        <f t="shared" si="1"/>
        <v>2</v>
      </c>
      <c r="G472" s="121" t="s">
        <v>7692</v>
      </c>
      <c r="H472" s="12"/>
      <c r="I472" s="192" t="str">
        <f>IFERROR(__xludf.DUMMYFUNCTION("regexreplace(lower(C472), ""_"", """")"),"bloodvalueclmaxmeqperldate")</f>
        <v>bloodvalueclmaxmeqperldate</v>
      </c>
      <c r="J472" s="192" t="b">
        <f t="shared" si="33"/>
        <v>0</v>
      </c>
      <c r="K472" s="192" t="str">
        <f>IFERROR(__xludf.DUMMYFUNCTION("regexreplace(G472, ""_"", """")"),"bloodvalueclmeqperlmaxdate")</f>
        <v>bloodvalueclmeqperlmaxdate</v>
      </c>
      <c r="L4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""$1$2"")"),"blood_value_cl_max__meqperl_date")</f>
        <v>blood_value_cl_max__meqperl_date</v>
      </c>
      <c r="N472" s="194"/>
      <c r="P472" s="194" t="s">
        <v>1675</v>
      </c>
      <c r="Q472" s="151" t="s">
        <v>1676</v>
      </c>
      <c r="R472" s="207"/>
      <c r="S472" s="207"/>
    </row>
    <row r="473">
      <c r="A473" s="33"/>
      <c r="B473" s="33" t="s">
        <v>1482</v>
      </c>
      <c r="C473" s="12" t="s">
        <v>1677</v>
      </c>
      <c r="D473" s="12" t="s">
        <v>483</v>
      </c>
      <c r="E473" s="15" t="s">
        <v>1678</v>
      </c>
      <c r="F473" s="123">
        <f t="shared" si="1"/>
        <v>2</v>
      </c>
      <c r="G473" s="121" t="s">
        <v>7693</v>
      </c>
      <c r="H473" s="12"/>
      <c r="I473" s="192" t="str">
        <f>IFERROR(__xludf.DUMMYFUNCTION("regexreplace(lower(C473), ""_"", """")"),"bloodvaluebunmaxmgperdl")</f>
        <v>bloodvaluebunmaxmgperdl</v>
      </c>
      <c r="J473" s="192" t="b">
        <f t="shared" si="33"/>
        <v>0</v>
      </c>
      <c r="K473" s="192" t="str">
        <f>IFERROR(__xludf.DUMMYFUNCTION("regexreplace(G473, ""_"", """")"),"bloodvaluebunmgperdlmax")</f>
        <v>bloodvaluebunmgperdlmax</v>
      </c>
      <c r="L4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""$1$2"")"),"blood_value_bun_max__mgperdl")</f>
        <v>blood_value_bun_max__mgperdl</v>
      </c>
      <c r="N473" s="194" t="s">
        <v>7653</v>
      </c>
      <c r="P473" s="194" t="s">
        <v>1680</v>
      </c>
      <c r="Q473" s="151" t="s">
        <v>1681</v>
      </c>
      <c r="R473" s="207"/>
      <c r="S473" s="207"/>
    </row>
    <row r="474">
      <c r="A474" s="33"/>
      <c r="B474" s="33" t="s">
        <v>1482</v>
      </c>
      <c r="C474" s="12" t="s">
        <v>1682</v>
      </c>
      <c r="D474" s="12" t="s">
        <v>26</v>
      </c>
      <c r="E474" s="15" t="s">
        <v>1683</v>
      </c>
      <c r="F474" s="123">
        <f t="shared" si="1"/>
        <v>2</v>
      </c>
      <c r="G474" s="121" t="s">
        <v>7694</v>
      </c>
      <c r="H474" s="12"/>
      <c r="I474" s="192" t="str">
        <f>IFERROR(__xludf.DUMMYFUNCTION("regexreplace(lower(C474), ""_"", """")"),"bloodvaluebunmaxmgperdldate")</f>
        <v>bloodvaluebunmaxmgperdldate</v>
      </c>
      <c r="J474" s="192" t="b">
        <f t="shared" si="33"/>
        <v>0</v>
      </c>
      <c r="K474" s="192" t="str">
        <f>IFERROR(__xludf.DUMMYFUNCTION("regexreplace(G474, ""_"", """")"),"bloodvaluebunmgperdlmaxdate")</f>
        <v>bloodvaluebunmgperdlmaxdate</v>
      </c>
      <c r="L4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""$1$2"")"),"blood_value_bun_max__mgperdl_date")</f>
        <v>blood_value_bun_max__mgperdl_date</v>
      </c>
      <c r="N474" s="194" t="s">
        <v>7416</v>
      </c>
      <c r="P474" s="194" t="s">
        <v>1685</v>
      </c>
      <c r="Q474" s="151" t="s">
        <v>1686</v>
      </c>
      <c r="R474" s="207"/>
      <c r="S474" s="207"/>
    </row>
    <row r="475">
      <c r="A475" s="33"/>
      <c r="B475" s="33" t="s">
        <v>1482</v>
      </c>
      <c r="C475" s="12" t="s">
        <v>1687</v>
      </c>
      <c r="D475" s="12" t="s">
        <v>483</v>
      </c>
      <c r="E475" s="15" t="s">
        <v>1688</v>
      </c>
      <c r="F475" s="123">
        <f t="shared" si="1"/>
        <v>2</v>
      </c>
      <c r="G475" s="121" t="s">
        <v>7695</v>
      </c>
      <c r="H475" s="12"/>
      <c r="I475" s="192" t="str">
        <f>IFERROR(__xludf.DUMMYFUNCTION("regexreplace(lower(C475), ""_"", """")"),"bloodvaluecreatininemaxmgperdl")</f>
        <v>bloodvaluecreatininemaxmgperdl</v>
      </c>
      <c r="J475" s="192" t="b">
        <f t="shared" si="33"/>
        <v>0</v>
      </c>
      <c r="K475" s="192" t="str">
        <f>IFERROR(__xludf.DUMMYFUNCTION("regexreplace(G475, ""_"", """")"),"bloodvaluecreatininemgperdlmax")</f>
        <v>bloodvaluecreatininemgperdlmax</v>
      </c>
      <c r="L4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""$1$2"")"),"blood_value_creatinine_max__mgperdl")</f>
        <v>blood_value_creatinine_max__mgperdl</v>
      </c>
      <c r="N475" s="194" t="s">
        <v>7656</v>
      </c>
      <c r="P475" s="194" t="s">
        <v>1690</v>
      </c>
      <c r="Q475" s="151" t="s">
        <v>1691</v>
      </c>
      <c r="R475" s="207"/>
      <c r="S475" s="207"/>
    </row>
    <row r="476">
      <c r="A476" s="33"/>
      <c r="B476" s="33" t="s">
        <v>1482</v>
      </c>
      <c r="C476" s="12" t="s">
        <v>1692</v>
      </c>
      <c r="D476" s="12" t="s">
        <v>26</v>
      </c>
      <c r="E476" s="15" t="s">
        <v>1693</v>
      </c>
      <c r="F476" s="123">
        <f t="shared" si="1"/>
        <v>2</v>
      </c>
      <c r="G476" s="121" t="s">
        <v>7696</v>
      </c>
      <c r="H476" s="12"/>
      <c r="I476" s="192" t="str">
        <f>IFERROR(__xludf.DUMMYFUNCTION("regexreplace(lower(C476), ""_"", """")"),"bloodvaluecreatininemaxmgperdldate")</f>
        <v>bloodvaluecreatininemaxmgperdldate</v>
      </c>
      <c r="J476" s="192" t="b">
        <f t="shared" si="33"/>
        <v>0</v>
      </c>
      <c r="K476" s="192" t="str">
        <f>IFERROR(__xludf.DUMMYFUNCTION("regexreplace(G476, ""_"", """")"),"bloodvaluecreatininemgperdlmaxdate")</f>
        <v>bloodvaluecreatininemgperdlmaxdate</v>
      </c>
      <c r="L4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""$1$2"")"),"blood_value_creatinine_max__mgperdl_date")</f>
        <v>blood_value_creatinine_max__mgperdl_date</v>
      </c>
      <c r="N476" s="194" t="s">
        <v>7416</v>
      </c>
      <c r="P476" s="194" t="s">
        <v>1695</v>
      </c>
      <c r="Q476" s="151" t="s">
        <v>1696</v>
      </c>
      <c r="R476" s="207"/>
      <c r="S476" s="207"/>
    </row>
    <row r="477">
      <c r="A477" s="33"/>
      <c r="B477" s="33" t="s">
        <v>1482</v>
      </c>
      <c r="C477" s="12" t="s">
        <v>1697</v>
      </c>
      <c r="D477" s="12" t="s">
        <v>483</v>
      </c>
      <c r="E477" s="15" t="s">
        <v>1698</v>
      </c>
      <c r="F477" s="123">
        <f t="shared" si="1"/>
        <v>2</v>
      </c>
      <c r="G477" s="121" t="s">
        <v>7697</v>
      </c>
      <c r="H477" s="12"/>
      <c r="I477" s="192" t="str">
        <f>IFERROR(__xludf.DUMMYFUNCTION("regexreplace(lower(C477), ""_"", """")"),"bloodvalueglucosemaxmgperdl")</f>
        <v>bloodvalueglucosemaxmgperdl</v>
      </c>
      <c r="J477" s="192" t="b">
        <f t="shared" si="33"/>
        <v>0</v>
      </c>
      <c r="K477" s="192" t="str">
        <f>IFERROR(__xludf.DUMMYFUNCTION("regexreplace(G477, ""_"", """")"),"bloodvalueglucosemgperdlmax")</f>
        <v>bloodvalueglucosemgperdlmax</v>
      </c>
      <c r="L4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""$1$2"")"),"blood_value_glucose_max__mgperdl")</f>
        <v>blood_value_glucose_max__mgperdl</v>
      </c>
      <c r="N477" s="194" t="s">
        <v>7673</v>
      </c>
      <c r="P477" s="194" t="s">
        <v>1700</v>
      </c>
      <c r="Q477" s="151" t="s">
        <v>1701</v>
      </c>
      <c r="R477" s="207"/>
      <c r="S477" s="207"/>
    </row>
    <row r="478">
      <c r="A478" s="33"/>
      <c r="B478" s="33" t="s">
        <v>1482</v>
      </c>
      <c r="C478" s="12" t="s">
        <v>1702</v>
      </c>
      <c r="D478" s="12" t="s">
        <v>26</v>
      </c>
      <c r="E478" s="15" t="s">
        <v>1703</v>
      </c>
      <c r="F478" s="123">
        <f t="shared" si="1"/>
        <v>2</v>
      </c>
      <c r="G478" s="121" t="s">
        <v>7698</v>
      </c>
      <c r="H478" s="12"/>
      <c r="I478" s="192" t="str">
        <f>IFERROR(__xludf.DUMMYFUNCTION("regexreplace(lower(C478), ""_"", """")"),"bloodvalueglucosemaxmgperdldate")</f>
        <v>bloodvalueglucosemaxmgperdldate</v>
      </c>
      <c r="J478" s="192" t="b">
        <f t="shared" si="33"/>
        <v>0</v>
      </c>
      <c r="K478" s="192" t="str">
        <f>IFERROR(__xludf.DUMMYFUNCTION("regexreplace(G478, ""_"", """")"),"bloodvalueglucosemgperdlmaxdate")</f>
        <v>bloodvalueglucosemgperdlmaxdate</v>
      </c>
      <c r="L4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""$1$2"")"),"blood_value_glucose_max__mgperdl_date")</f>
        <v>blood_value_glucose_max__mgperdl_date</v>
      </c>
      <c r="N478" s="194" t="s">
        <v>7416</v>
      </c>
      <c r="P478" s="194" t="s">
        <v>1705</v>
      </c>
      <c r="Q478" s="151" t="s">
        <v>1706</v>
      </c>
      <c r="R478" s="207"/>
      <c r="S478" s="207"/>
    </row>
    <row r="479">
      <c r="A479" s="33"/>
      <c r="B479" s="33" t="s">
        <v>1482</v>
      </c>
      <c r="C479" s="12" t="s">
        <v>1707</v>
      </c>
      <c r="D479" s="12" t="s">
        <v>483</v>
      </c>
      <c r="E479" s="15" t="s">
        <v>1708</v>
      </c>
      <c r="F479" s="123">
        <f t="shared" si="1"/>
        <v>1</v>
      </c>
      <c r="G479" s="121" t="s">
        <v>7699</v>
      </c>
      <c r="H479" s="12"/>
      <c r="I479" s="192" t="str">
        <f>IFERROR(__xludf.DUMMYFUNCTION("regexreplace(lower(C479), ""_"", """")"),"bloodvaluetotalcamaxmgperdl")</f>
        <v>bloodvaluetotalcamaxmgperdl</v>
      </c>
      <c r="J479" s="192" t="b">
        <f t="shared" si="33"/>
        <v>0</v>
      </c>
      <c r="K479" s="192" t="str">
        <f>IFERROR(__xludf.DUMMYFUNCTION("regexreplace(G479, ""_"", """")"),"bloodvaluetotalcamgperdlmax")</f>
        <v>bloodvaluetotalcamgperdlmax</v>
      </c>
      <c r="L4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""$1$2"")"),"blood_value_total_ca_max__mgperdl")</f>
        <v>blood_value_total_ca_max__mgperdl</v>
      </c>
      <c r="N479" s="194"/>
      <c r="P479" s="194"/>
      <c r="Q479" s="151" t="s">
        <v>1710</v>
      </c>
      <c r="R479" s="207"/>
      <c r="S479" s="207"/>
    </row>
    <row r="480">
      <c r="A480" s="33"/>
      <c r="B480" s="33" t="s">
        <v>1482</v>
      </c>
      <c r="C480" s="12" t="s">
        <v>1711</v>
      </c>
      <c r="D480" s="12" t="s">
        <v>26</v>
      </c>
      <c r="E480" s="15" t="s">
        <v>1712</v>
      </c>
      <c r="F480" s="123">
        <f t="shared" si="1"/>
        <v>1</v>
      </c>
      <c r="G480" s="121" t="s">
        <v>7700</v>
      </c>
      <c r="H480" s="12"/>
      <c r="I480" s="192" t="str">
        <f>IFERROR(__xludf.DUMMYFUNCTION("regexreplace(lower(C480), ""_"", """")"),"bloodvaluetotalcamaxmgperdldate")</f>
        <v>bloodvaluetotalcamaxmgperdldate</v>
      </c>
      <c r="J480" s="192" t="b">
        <f t="shared" si="33"/>
        <v>0</v>
      </c>
      <c r="K480" s="192" t="str">
        <f>IFERROR(__xludf.DUMMYFUNCTION("regexreplace(G480, ""_"", """")"),"bloodvaluetotalcamgperdlmaxdate")</f>
        <v>bloodvaluetotalcamgperdlmaxdate</v>
      </c>
      <c r="L4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""$1$2"")"),"blood_value_total_ca_max__mgperdl_date")</f>
        <v>blood_value_total_ca_max__mgperdl_date</v>
      </c>
      <c r="N480" s="194"/>
      <c r="P480" s="194"/>
      <c r="Q480" s="151" t="s">
        <v>1714</v>
      </c>
      <c r="R480" s="207"/>
      <c r="S480" s="207"/>
    </row>
    <row r="481">
      <c r="A481" s="33"/>
      <c r="B481" s="33" t="s">
        <v>1482</v>
      </c>
      <c r="C481" s="12" t="s">
        <v>1715</v>
      </c>
      <c r="D481" s="12" t="s">
        <v>483</v>
      </c>
      <c r="E481" s="15" t="s">
        <v>1716</v>
      </c>
      <c r="F481" s="123">
        <f t="shared" si="1"/>
        <v>1</v>
      </c>
      <c r="G481" s="121" t="s">
        <v>7701</v>
      </c>
      <c r="H481" s="12"/>
      <c r="I481" s="192" t="str">
        <f>IFERROR(__xludf.DUMMYFUNCTION("regexreplace(lower(C481), ""_"", """")"),"bloodvalueioncamaxmgperdl")</f>
        <v>bloodvalueioncamaxmgperdl</v>
      </c>
      <c r="J481" s="192" t="b">
        <f t="shared" si="33"/>
        <v>0</v>
      </c>
      <c r="K481" s="192" t="str">
        <f>IFERROR(__xludf.DUMMYFUNCTION("regexreplace(G481, ""_"", """")"),"bloodvalueioncamgperdlmax")</f>
        <v>bloodvalueioncamgperdlmax</v>
      </c>
      <c r="L4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""$1$2"")"),"blood_value_ion_ca_max__mgperdl")</f>
        <v>blood_value_ion_ca_max__mgperdl</v>
      </c>
      <c r="N481" s="194"/>
      <c r="P481" s="194"/>
      <c r="Q481" s="151" t="s">
        <v>1718</v>
      </c>
      <c r="R481" s="207"/>
      <c r="S481" s="207"/>
    </row>
    <row r="482">
      <c r="A482" s="33"/>
      <c r="B482" s="33" t="s">
        <v>1482</v>
      </c>
      <c r="C482" s="12" t="s">
        <v>1719</v>
      </c>
      <c r="D482" s="12" t="s">
        <v>26</v>
      </c>
      <c r="E482" s="15" t="s">
        <v>1720</v>
      </c>
      <c r="F482" s="123">
        <f t="shared" si="1"/>
        <v>1</v>
      </c>
      <c r="G482" s="121" t="s">
        <v>7702</v>
      </c>
      <c r="H482" s="12"/>
      <c r="I482" s="192" t="str">
        <f>IFERROR(__xludf.DUMMYFUNCTION("regexreplace(lower(C482), ""_"", """")"),"bloodvalueioncamaxmgperdldate")</f>
        <v>bloodvalueioncamaxmgperdldate</v>
      </c>
      <c r="J482" s="192" t="b">
        <f t="shared" si="33"/>
        <v>0</v>
      </c>
      <c r="K482" s="192" t="str">
        <f>IFERROR(__xludf.DUMMYFUNCTION("regexreplace(G482, ""_"", """")"),"bloodvalueioncamgperdlmaxdate")</f>
        <v>bloodvalueioncamgperdlmaxdate</v>
      </c>
      <c r="L4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""$1$2"")"),"blood_value_ion_ca_max__mgperdl_date")</f>
        <v>blood_value_ion_ca_max__mgperdl_date</v>
      </c>
      <c r="N482" s="194"/>
      <c r="P482" s="194"/>
      <c r="Q482" s="151" t="s">
        <v>1722</v>
      </c>
      <c r="R482" s="207"/>
      <c r="S482" s="207"/>
    </row>
    <row r="483">
      <c r="A483" s="33"/>
      <c r="B483" s="33" t="s">
        <v>1482</v>
      </c>
      <c r="C483" s="12" t="s">
        <v>1723</v>
      </c>
      <c r="D483" s="12" t="s">
        <v>483</v>
      </c>
      <c r="E483" s="15" t="s">
        <v>1724</v>
      </c>
      <c r="F483" s="123">
        <f t="shared" si="1"/>
        <v>2</v>
      </c>
      <c r="G483" s="121" t="s">
        <v>7703</v>
      </c>
      <c r="H483" s="12"/>
      <c r="I483" s="192" t="str">
        <f>IFERROR(__xludf.DUMMYFUNCTION("regexreplace(lower(C483), ""_"", """")"),"bloodvalueastsgotmaxuperl")</f>
        <v>bloodvalueastsgotmaxuperl</v>
      </c>
      <c r="J483" s="192" t="b">
        <f t="shared" si="33"/>
        <v>0</v>
      </c>
      <c r="K483" s="192" t="str">
        <f>IFERROR(__xludf.DUMMYFUNCTION("regexreplace(G483, ""_"", """")"),"bloodvalueastsgotuperlmax")</f>
        <v>bloodvalueastsgotuperlmax</v>
      </c>
      <c r="L4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""$1$2"")"),"blood_value_ast_sgot_max__uperl")</f>
        <v>blood_value_ast_sgot_max__uperl</v>
      </c>
      <c r="N483" s="194"/>
      <c r="P483" s="194" t="s">
        <v>1726</v>
      </c>
      <c r="Q483" s="151" t="s">
        <v>1727</v>
      </c>
      <c r="R483" s="207"/>
      <c r="S483" s="207"/>
    </row>
    <row r="484">
      <c r="A484" s="33"/>
      <c r="B484" s="33" t="s">
        <v>1482</v>
      </c>
      <c r="C484" s="12" t="s">
        <v>1728</v>
      </c>
      <c r="D484" s="12" t="s">
        <v>26</v>
      </c>
      <c r="E484" s="15" t="s">
        <v>1729</v>
      </c>
      <c r="F484" s="123">
        <f t="shared" si="1"/>
        <v>2</v>
      </c>
      <c r="G484" s="121" t="s">
        <v>7704</v>
      </c>
      <c r="H484" s="12"/>
      <c r="I484" s="192" t="str">
        <f>IFERROR(__xludf.DUMMYFUNCTION("regexreplace(lower(C484), ""_"", """")"),"bloodvalueastsgotmaxuperldate")</f>
        <v>bloodvalueastsgotmaxuperldate</v>
      </c>
      <c r="J484" s="192" t="b">
        <f t="shared" si="33"/>
        <v>0</v>
      </c>
      <c r="K484" s="192" t="str">
        <f>IFERROR(__xludf.DUMMYFUNCTION("regexreplace(G484, ""_"", """")"),"bloodvalueastsgotuperlmaxdate")</f>
        <v>bloodvalueastsgotuperlmaxdate</v>
      </c>
      <c r="L4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""$1$2"")"),"blood_value_ast_sgot_max__uperl_date")</f>
        <v>blood_value_ast_sgot_max__uperl_date</v>
      </c>
      <c r="N484" s="194"/>
      <c r="P484" s="194" t="s">
        <v>1731</v>
      </c>
      <c r="Q484" s="151" t="s">
        <v>1732</v>
      </c>
      <c r="R484" s="207"/>
      <c r="S484" s="207"/>
    </row>
    <row r="485">
      <c r="A485" s="33"/>
      <c r="B485" s="33" t="s">
        <v>1482</v>
      </c>
      <c r="C485" s="12" t="s">
        <v>1733</v>
      </c>
      <c r="D485" s="12" t="s">
        <v>483</v>
      </c>
      <c r="E485" s="15" t="s">
        <v>1734</v>
      </c>
      <c r="F485" s="123">
        <f t="shared" si="1"/>
        <v>2</v>
      </c>
      <c r="G485" s="121" t="s">
        <v>7705</v>
      </c>
      <c r="H485" s="12"/>
      <c r="I485" s="192" t="str">
        <f>IFERROR(__xludf.DUMMYFUNCTION("regexreplace(lower(C485), ""_"", """")"),"bloodvaluealtsgptmaxuperl")</f>
        <v>bloodvaluealtsgptmaxuperl</v>
      </c>
      <c r="J485" s="192" t="b">
        <f t="shared" si="33"/>
        <v>0</v>
      </c>
      <c r="K485" s="192" t="str">
        <f>IFERROR(__xludf.DUMMYFUNCTION("regexreplace(G485, ""_"", """")"),"bloodvaluealtsgptuperlmax")</f>
        <v>bloodvaluealtsgptuperlmax</v>
      </c>
      <c r="L4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""$1$2"")"),"blood_value_alt_sgpt_max__uperl")</f>
        <v>blood_value_alt_sgpt_max__uperl</v>
      </c>
      <c r="N485" s="194"/>
      <c r="P485" s="194" t="s">
        <v>1736</v>
      </c>
      <c r="Q485" s="151" t="s">
        <v>1737</v>
      </c>
      <c r="R485" s="207"/>
      <c r="S485" s="207"/>
    </row>
    <row r="486">
      <c r="A486" s="33"/>
      <c r="B486" s="33" t="s">
        <v>1482</v>
      </c>
      <c r="C486" s="12" t="s">
        <v>1738</v>
      </c>
      <c r="D486" s="12" t="s">
        <v>26</v>
      </c>
      <c r="E486" s="15" t="s">
        <v>1739</v>
      </c>
      <c r="F486" s="123">
        <f t="shared" si="1"/>
        <v>2</v>
      </c>
      <c r="G486" s="121" t="s">
        <v>7706</v>
      </c>
      <c r="H486" s="12"/>
      <c r="I486" s="192" t="str">
        <f>IFERROR(__xludf.DUMMYFUNCTION("regexreplace(lower(C486), ""_"", """")"),"bloodvaluealtsgptmaxuperldate")</f>
        <v>bloodvaluealtsgptmaxuperldate</v>
      </c>
      <c r="J486" s="192" t="b">
        <f t="shared" si="33"/>
        <v>0</v>
      </c>
      <c r="K486" s="192" t="str">
        <f>IFERROR(__xludf.DUMMYFUNCTION("regexreplace(G486, ""_"", """")"),"bloodvaluealtsgptuperlmaxdate")</f>
        <v>bloodvaluealtsgptuperlmaxdate</v>
      </c>
      <c r="L4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""$1$2"")"),"blood_value_alt_sgpt_max__uperl_date")</f>
        <v>blood_value_alt_sgpt_max__uperl_date</v>
      </c>
      <c r="N486" s="194"/>
      <c r="P486" s="194" t="s">
        <v>1741</v>
      </c>
      <c r="Q486" s="151" t="s">
        <v>1742</v>
      </c>
      <c r="R486" s="207"/>
      <c r="S486" s="207"/>
    </row>
    <row r="487">
      <c r="A487" s="33"/>
      <c r="B487" s="33" t="s">
        <v>1482</v>
      </c>
      <c r="C487" s="12" t="s">
        <v>1743</v>
      </c>
      <c r="D487" s="12" t="s">
        <v>483</v>
      </c>
      <c r="E487" s="61" t="s">
        <v>1744</v>
      </c>
      <c r="F487" s="123">
        <f t="shared" si="1"/>
        <v>1</v>
      </c>
      <c r="G487" s="121" t="s">
        <v>7707</v>
      </c>
      <c r="H487" s="12"/>
      <c r="I487" s="192" t="str">
        <f>IFERROR(__xludf.DUMMYFUNCTION("regexreplace(lower(C487), ""_"", """")"),"bloodvaluetotalbilirubinmaxmgperdl")</f>
        <v>bloodvaluetotalbilirubinmaxmgperdl</v>
      </c>
      <c r="J487" s="192" t="b">
        <f t="shared" si="33"/>
        <v>0</v>
      </c>
      <c r="K487" s="192" t="str">
        <f>IFERROR(__xludf.DUMMYFUNCTION("regexreplace(G487, ""_"", """")"),"bloodvaluetotalbilirubinmgperdlmax")</f>
        <v>bloodvaluetotalbilirubinmgperdlmax</v>
      </c>
      <c r="L4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""$1$2"")"),"blood_value_total_bilirubin_max__mgperdl")</f>
        <v>blood_value_total_bilirubin_max__mgperdl</v>
      </c>
      <c r="N487" s="151"/>
      <c r="P487" s="151"/>
      <c r="Q487" s="151" t="s">
        <v>1746</v>
      </c>
      <c r="R487" s="207"/>
      <c r="S487" s="207"/>
    </row>
    <row r="488">
      <c r="A488" s="33"/>
      <c r="B488" s="33" t="s">
        <v>1482</v>
      </c>
      <c r="C488" s="12" t="s">
        <v>1747</v>
      </c>
      <c r="D488" s="12" t="s">
        <v>26</v>
      </c>
      <c r="E488" s="61" t="s">
        <v>1748</v>
      </c>
      <c r="F488" s="123">
        <f t="shared" si="1"/>
        <v>1</v>
      </c>
      <c r="G488" s="121" t="s">
        <v>7708</v>
      </c>
      <c r="H488" s="12"/>
      <c r="I488" s="192" t="str">
        <f>IFERROR(__xludf.DUMMYFUNCTION("regexreplace(lower(C488), ""_"", """")"),"bloodvaluetotalbilirubinmaxmgperdldate")</f>
        <v>bloodvaluetotalbilirubinmaxmgperdldate</v>
      </c>
      <c r="J488" s="192" t="b">
        <f t="shared" si="33"/>
        <v>0</v>
      </c>
      <c r="K488" s="192" t="str">
        <f>IFERROR(__xludf.DUMMYFUNCTION("regexreplace(G488, ""_"", """")"),"bloodvaluetotalbilirubinmgperdlmaxdate")</f>
        <v>bloodvaluetotalbilirubinmgperdlmaxdate</v>
      </c>
      <c r="L4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""$1$2"")"),"blood_value_total_bilirubin_max__mgperdl_date")</f>
        <v>blood_value_total_bilirubin_max__mgperdl_date</v>
      </c>
      <c r="N488" s="194"/>
      <c r="P488" s="151"/>
      <c r="Q488" s="151" t="s">
        <v>1750</v>
      </c>
      <c r="R488" s="207"/>
      <c r="S488" s="207"/>
    </row>
    <row r="489">
      <c r="A489" s="33"/>
      <c r="B489" s="33"/>
      <c r="C489" s="12"/>
      <c r="D489" s="12"/>
      <c r="E489" s="15"/>
      <c r="F489" s="123">
        <f t="shared" si="1"/>
        <v>0</v>
      </c>
      <c r="G489" s="12"/>
      <c r="H489" s="12"/>
      <c r="I489" s="12"/>
      <c r="J489" s="12"/>
      <c r="K489" s="12"/>
      <c r="L489" s="12"/>
      <c r="N489" s="15"/>
      <c r="P489" s="15"/>
      <c r="Q489" s="15"/>
      <c r="R489" s="88"/>
      <c r="S489" s="88"/>
    </row>
    <row r="490">
      <c r="A490" s="33" t="s">
        <v>1241</v>
      </c>
      <c r="B490" s="33" t="s">
        <v>925</v>
      </c>
      <c r="C490" s="12" t="s">
        <v>1751</v>
      </c>
      <c r="D490" s="12" t="s">
        <v>31</v>
      </c>
      <c r="E490" s="15" t="s">
        <v>1752</v>
      </c>
      <c r="F490" s="123">
        <f t="shared" si="1"/>
        <v>1</v>
      </c>
      <c r="G490" s="121" t="s">
        <v>1753</v>
      </c>
      <c r="H490" s="12"/>
      <c r="I490" s="192" t="str">
        <f>IFERROR(__xludf.DUMMYFUNCTION("regexreplace(lower(C490), ""_"", """")"),"positiveculturenumber")</f>
        <v>positiveculturenumber</v>
      </c>
      <c r="J490" s="192" t="b">
        <f t="shared" ref="J490:J505" si="34">exact(I490, K490)</f>
        <v>1</v>
      </c>
      <c r="K490" s="192" t="str">
        <f>IFERROR(__xludf.DUMMYFUNCTION("regexreplace(G490, ""_"", """")"),"positiveculturenumber")</f>
        <v>positiveculturenumber</v>
      </c>
      <c r="L4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""$1$2"")"),"positive_culture_number")</f>
        <v>positive_culture_number</v>
      </c>
      <c r="M490" s="125"/>
      <c r="N490" s="221"/>
      <c r="O490" s="125"/>
      <c r="P490" s="221"/>
      <c r="Q490" s="221" t="s">
        <v>1754</v>
      </c>
      <c r="R490" s="223"/>
      <c r="S490" s="223"/>
      <c r="T490" s="125"/>
      <c r="U490" s="125"/>
      <c r="V490" s="125"/>
      <c r="W490" s="125"/>
      <c r="X490" s="125"/>
      <c r="Y490" s="125"/>
      <c r="Z490" s="125"/>
    </row>
    <row r="491">
      <c r="A491" s="33"/>
      <c r="B491" s="33" t="s">
        <v>925</v>
      </c>
      <c r="C491" s="12" t="s">
        <v>1755</v>
      </c>
      <c r="D491" s="12" t="s">
        <v>40</v>
      </c>
      <c r="E491" s="15" t="s">
        <v>1756</v>
      </c>
      <c r="F491" s="123">
        <f t="shared" si="1"/>
        <v>1</v>
      </c>
      <c r="G491" s="121" t="s">
        <v>1757</v>
      </c>
      <c r="H491" s="12"/>
      <c r="I491" s="192" t="str">
        <f>IFERROR(__xludf.DUMMYFUNCTION("regexreplace(lower(C491), ""_"", """")"),"positiveculture")</f>
        <v>positiveculture</v>
      </c>
      <c r="J491" s="192" t="b">
        <f t="shared" si="34"/>
        <v>1</v>
      </c>
      <c r="K491" s="192" t="str">
        <f>IFERROR(__xludf.DUMMYFUNCTION("regexreplace(G491, ""_"", """")"),"positiveculture")</f>
        <v>positiveculture</v>
      </c>
      <c r="L4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""$1$2"")"),"positive_culture")</f>
        <v>positive_culture</v>
      </c>
      <c r="M491" s="125"/>
      <c r="N491" s="221"/>
      <c r="O491" s="125"/>
      <c r="P491" s="221" t="s">
        <v>1758</v>
      </c>
      <c r="Q491" s="221"/>
      <c r="R491" s="223"/>
      <c r="S491" s="223"/>
      <c r="T491" s="125"/>
      <c r="U491" s="125"/>
      <c r="V491" s="125"/>
      <c r="W491" s="125"/>
      <c r="X491" s="125"/>
      <c r="Y491" s="125"/>
      <c r="Z491" s="125"/>
    </row>
    <row r="492">
      <c r="A492" s="33"/>
      <c r="B492" s="33" t="s">
        <v>925</v>
      </c>
      <c r="C492" s="12" t="s">
        <v>931</v>
      </c>
      <c r="D492" s="12" t="s">
        <v>931</v>
      </c>
      <c r="E492" s="15" t="s">
        <v>1759</v>
      </c>
      <c r="F492" s="123">
        <f t="shared" si="1"/>
        <v>3</v>
      </c>
      <c r="G492" s="121" t="s">
        <v>1760</v>
      </c>
      <c r="H492" s="12"/>
      <c r="I492" s="192" t="str">
        <f>IFERROR(__xludf.DUMMYFUNCTION("regexreplace(lower(C492), ""_"", """")"),"positiveculturesrc")</f>
        <v>positiveculturesrc</v>
      </c>
      <c r="J492" s="192" t="b">
        <f t="shared" si="34"/>
        <v>1</v>
      </c>
      <c r="K492" s="192" t="str">
        <f>IFERROR(__xludf.DUMMYFUNCTION("regexreplace(G492, ""_"", """")"),"positiveculturesrc")</f>
        <v>positiveculturesrc</v>
      </c>
      <c r="L4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""$1$2"")"),"positive_culture_src")</f>
        <v>positive_culture_src</v>
      </c>
      <c r="M492" s="125"/>
      <c r="N492" s="221"/>
      <c r="O492" s="122" t="s">
        <v>7709</v>
      </c>
      <c r="P492" s="221" t="s">
        <v>1761</v>
      </c>
      <c r="Q492" s="221" t="s">
        <v>1762</v>
      </c>
      <c r="R492" s="223"/>
      <c r="S492" s="223"/>
      <c r="T492" s="125"/>
      <c r="U492" s="125"/>
      <c r="V492" s="125"/>
      <c r="W492" s="125"/>
      <c r="X492" s="125"/>
      <c r="Y492" s="125"/>
      <c r="Z492" s="125"/>
    </row>
    <row r="493">
      <c r="A493" s="33"/>
      <c r="B493" s="33" t="s">
        <v>925</v>
      </c>
      <c r="C493" s="12" t="s">
        <v>1763</v>
      </c>
      <c r="D493" s="12" t="s">
        <v>26</v>
      </c>
      <c r="E493" s="15" t="s">
        <v>1764</v>
      </c>
      <c r="F493" s="123">
        <f t="shared" si="1"/>
        <v>3</v>
      </c>
      <c r="G493" s="121" t="s">
        <v>1765</v>
      </c>
      <c r="H493" s="12"/>
      <c r="I493" s="192" t="str">
        <f>IFERROR(__xludf.DUMMYFUNCTION("regexreplace(lower(C493), ""_"", """")"),"positiveculturedate")</f>
        <v>positiveculturedate</v>
      </c>
      <c r="J493" s="192" t="b">
        <f t="shared" si="34"/>
        <v>1</v>
      </c>
      <c r="K493" s="192" t="str">
        <f>IFERROR(__xludf.DUMMYFUNCTION("regexreplace(G493, ""_"", """")"),"positiveculturedate")</f>
        <v>positiveculturedate</v>
      </c>
      <c r="L4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""$1$2"")"),"positive_culture_date")</f>
        <v>positive_culture_date</v>
      </c>
      <c r="M493" s="125"/>
      <c r="N493" s="122"/>
      <c r="O493" s="122" t="s">
        <v>7710</v>
      </c>
      <c r="P493" s="221" t="s">
        <v>1766</v>
      </c>
      <c r="Q493" s="221" t="s">
        <v>1767</v>
      </c>
      <c r="R493" s="223"/>
      <c r="S493" s="223"/>
      <c r="T493" s="125"/>
      <c r="U493" s="125"/>
      <c r="V493" s="125"/>
      <c r="W493" s="125"/>
      <c r="X493" s="125"/>
      <c r="Y493" s="125"/>
      <c r="Z493" s="125"/>
    </row>
    <row r="494">
      <c r="A494" s="33"/>
      <c r="B494" s="33" t="s">
        <v>925</v>
      </c>
      <c r="C494" s="12" t="s">
        <v>1768</v>
      </c>
      <c r="D494" s="12" t="s">
        <v>145</v>
      </c>
      <c r="E494" s="15" t="s">
        <v>1769</v>
      </c>
      <c r="F494" s="123">
        <f t="shared" si="1"/>
        <v>2</v>
      </c>
      <c r="G494" s="121" t="s">
        <v>1770</v>
      </c>
      <c r="H494" s="12"/>
      <c r="I494" s="192" t="str">
        <f>IFERROR(__xludf.DUMMYFUNCTION("regexreplace(lower(C494), ""_"", """")"),"positiveculturetime")</f>
        <v>positiveculturetime</v>
      </c>
      <c r="J494" s="192" t="b">
        <f t="shared" si="34"/>
        <v>1</v>
      </c>
      <c r="K494" s="192" t="str">
        <f>IFERROR(__xludf.DUMMYFUNCTION("regexreplace(G494, ""_"", """")"),"positiveculturetime")</f>
        <v>positiveculturetime</v>
      </c>
      <c r="L4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""$1$2"")"),"positive_culture_time")</f>
        <v>positive_culture_time</v>
      </c>
      <c r="M494" s="125"/>
      <c r="N494" s="221"/>
      <c r="O494" s="125"/>
      <c r="P494" s="221" t="s">
        <v>1771</v>
      </c>
      <c r="Q494" s="221" t="s">
        <v>1772</v>
      </c>
      <c r="R494" s="223"/>
      <c r="S494" s="223"/>
      <c r="T494" s="125"/>
      <c r="U494" s="125"/>
      <c r="V494" s="125"/>
      <c r="W494" s="125"/>
      <c r="X494" s="125"/>
      <c r="Y494" s="125"/>
      <c r="Z494" s="125"/>
    </row>
    <row r="495">
      <c r="A495" s="33"/>
      <c r="B495" s="33" t="s">
        <v>925</v>
      </c>
      <c r="C495" s="12" t="s">
        <v>1773</v>
      </c>
      <c r="D495" s="12" t="s">
        <v>944</v>
      </c>
      <c r="E495" s="15" t="s">
        <v>1774</v>
      </c>
      <c r="F495" s="123">
        <f t="shared" si="1"/>
        <v>3</v>
      </c>
      <c r="G495" s="121" t="s">
        <v>1775</v>
      </c>
      <c r="H495" s="12"/>
      <c r="I495" s="192" t="str">
        <f>IFERROR(__xludf.DUMMYFUNCTION("regexreplace(lower(C495), ""_"", """")"),"positivecultureorganismcode1")</f>
        <v>positivecultureorganismcode1</v>
      </c>
      <c r="J495" s="192" t="b">
        <f t="shared" si="34"/>
        <v>1</v>
      </c>
      <c r="K495" s="192" t="str">
        <f>IFERROR(__xludf.DUMMYFUNCTION("regexreplace(G495, ""_"", """")"),"positivecultureorganismcode1")</f>
        <v>positivecultureorganismcode1</v>
      </c>
      <c r="L4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""$1$2"")"),"positive_culture_organism_code1")</f>
        <v>positive_culture_organism_code1</v>
      </c>
      <c r="M495" s="125"/>
      <c r="N495" s="221"/>
      <c r="O495" s="122" t="s">
        <v>7711</v>
      </c>
      <c r="P495" s="221" t="s">
        <v>1776</v>
      </c>
      <c r="Q495" s="221" t="s">
        <v>1777</v>
      </c>
      <c r="R495" s="223"/>
      <c r="S495" s="223"/>
      <c r="T495" s="125"/>
      <c r="U495" s="125"/>
      <c r="V495" s="125"/>
      <c r="W495" s="125"/>
      <c r="X495" s="125"/>
      <c r="Y495" s="125"/>
      <c r="Z495" s="125"/>
    </row>
    <row r="496">
      <c r="A496" s="33"/>
      <c r="B496" s="33" t="s">
        <v>925</v>
      </c>
      <c r="C496" s="12" t="s">
        <v>1778</v>
      </c>
      <c r="D496" s="12" t="s">
        <v>944</v>
      </c>
      <c r="E496" s="15" t="s">
        <v>1779</v>
      </c>
      <c r="F496" s="123">
        <f t="shared" si="1"/>
        <v>2</v>
      </c>
      <c r="G496" s="121" t="s">
        <v>1780</v>
      </c>
      <c r="H496" s="12"/>
      <c r="I496" s="192" t="str">
        <f>IFERROR(__xludf.DUMMYFUNCTION("regexreplace(lower(C496), ""_"", """")"),"positivecultureorganismcode2")</f>
        <v>positivecultureorganismcode2</v>
      </c>
      <c r="J496" s="192" t="b">
        <f t="shared" si="34"/>
        <v>1</v>
      </c>
      <c r="K496" s="192" t="str">
        <f>IFERROR(__xludf.DUMMYFUNCTION("regexreplace(G496, ""_"", """")"),"positivecultureorganismcode2")</f>
        <v>positivecultureorganismcode2</v>
      </c>
      <c r="L4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""$1$2"")"),"positive_culture_organism_code2")</f>
        <v>positive_culture_organism_code2</v>
      </c>
      <c r="M496" s="125"/>
      <c r="N496" s="221"/>
      <c r="O496" s="125"/>
      <c r="P496" s="221" t="s">
        <v>1781</v>
      </c>
      <c r="Q496" s="221" t="s">
        <v>1782</v>
      </c>
      <c r="R496" s="223"/>
      <c r="S496" s="223"/>
      <c r="T496" s="125"/>
      <c r="U496" s="125"/>
      <c r="V496" s="125"/>
      <c r="W496" s="125"/>
      <c r="X496" s="125"/>
      <c r="Y496" s="125"/>
      <c r="Z496" s="125"/>
    </row>
    <row r="497">
      <c r="A497" s="33"/>
      <c r="B497" s="33" t="s">
        <v>925</v>
      </c>
      <c r="C497" s="12" t="s">
        <v>1783</v>
      </c>
      <c r="D497" s="12" t="s">
        <v>944</v>
      </c>
      <c r="E497" s="15" t="s">
        <v>1784</v>
      </c>
      <c r="F497" s="123">
        <f t="shared" si="1"/>
        <v>2</v>
      </c>
      <c r="G497" s="121" t="s">
        <v>1785</v>
      </c>
      <c r="H497" s="12"/>
      <c r="I497" s="192" t="str">
        <f>IFERROR(__xludf.DUMMYFUNCTION("regexreplace(lower(C497), ""_"", """")"),"positivecultureorganismcode3")</f>
        <v>positivecultureorganismcode3</v>
      </c>
      <c r="J497" s="192" t="b">
        <f t="shared" si="34"/>
        <v>1</v>
      </c>
      <c r="K497" s="192" t="str">
        <f>IFERROR(__xludf.DUMMYFUNCTION("regexreplace(G497, ""_"", """")"),"positivecultureorganismcode3")</f>
        <v>positivecultureorganismcode3</v>
      </c>
      <c r="L4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""$1$2"")"),"positive_culture_organism_code3")</f>
        <v>positive_culture_organism_code3</v>
      </c>
      <c r="M497" s="125"/>
      <c r="N497" s="221"/>
      <c r="O497" s="125"/>
      <c r="P497" s="221" t="s">
        <v>1786</v>
      </c>
      <c r="Q497" s="221" t="s">
        <v>1787</v>
      </c>
      <c r="R497" s="223"/>
      <c r="S497" s="223"/>
      <c r="T497" s="125"/>
      <c r="U497" s="125"/>
      <c r="V497" s="125"/>
      <c r="W497" s="125"/>
      <c r="X497" s="125"/>
      <c r="Y497" s="125"/>
      <c r="Z497" s="125"/>
    </row>
    <row r="498">
      <c r="A498" s="33"/>
      <c r="B498" s="33" t="s">
        <v>925</v>
      </c>
      <c r="C498" s="12" t="s">
        <v>436</v>
      </c>
      <c r="D498" s="49" t="s">
        <v>40</v>
      </c>
      <c r="E498" s="61" t="s">
        <v>1788</v>
      </c>
      <c r="F498" s="123">
        <f t="shared" si="1"/>
        <v>2</v>
      </c>
      <c r="G498" s="121" t="s">
        <v>436</v>
      </c>
      <c r="H498" s="12"/>
      <c r="I498" s="192" t="str">
        <f>IFERROR(__xludf.DUMMYFUNCTION("regexreplace(lower(C498), ""_"", """")"),"antibiotics")</f>
        <v>antibiotics</v>
      </c>
      <c r="J498" s="192" t="b">
        <f t="shared" si="34"/>
        <v>1</v>
      </c>
      <c r="K498" s="192" t="str">
        <f>IFERROR(__xludf.DUMMYFUNCTION("regexreplace(G498, ""_"", """")"),"antibiotics")</f>
        <v>antibiotics</v>
      </c>
      <c r="L4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""$1$2"")"),"antibiotics")</f>
        <v>antibiotics</v>
      </c>
      <c r="M498" s="125"/>
      <c r="N498" s="122"/>
      <c r="O498" s="125"/>
      <c r="P498" s="122" t="s">
        <v>1789</v>
      </c>
      <c r="Q498" s="221" t="s">
        <v>1790</v>
      </c>
      <c r="R498" s="125"/>
      <c r="S498" s="125"/>
      <c r="T498" s="125"/>
      <c r="U498" s="125"/>
      <c r="V498" s="125"/>
      <c r="W498" s="125"/>
      <c r="X498" s="125"/>
      <c r="Y498" s="125"/>
      <c r="Z498" s="125"/>
    </row>
    <row r="499">
      <c r="A499" s="33"/>
      <c r="B499" s="33" t="s">
        <v>925</v>
      </c>
      <c r="C499" s="12" t="s">
        <v>1791</v>
      </c>
      <c r="D499" s="49" t="s">
        <v>436</v>
      </c>
      <c r="E499" s="61" t="s">
        <v>1792</v>
      </c>
      <c r="F499" s="123">
        <f t="shared" si="1"/>
        <v>2</v>
      </c>
      <c r="G499" s="121" t="s">
        <v>1793</v>
      </c>
      <c r="H499" s="12"/>
      <c r="I499" s="192" t="str">
        <f>IFERROR(__xludf.DUMMYFUNCTION("regexreplace(lower(C499), ""_"", """")"),"antibioticscode1")</f>
        <v>antibioticscode1</v>
      </c>
      <c r="J499" s="192" t="b">
        <f t="shared" si="34"/>
        <v>1</v>
      </c>
      <c r="K499" s="192" t="str">
        <f>IFERROR(__xludf.DUMMYFUNCTION("regexreplace(G499, ""_"", """")"),"antibioticscode1")</f>
        <v>antibioticscode1</v>
      </c>
      <c r="L4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499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""$1$2"")"),"antibiotics_code1")</f>
        <v>antibiotics_code1</v>
      </c>
      <c r="M499" s="125"/>
      <c r="N499" s="122"/>
      <c r="O499" s="125"/>
      <c r="P499" s="122" t="s">
        <v>1794</v>
      </c>
      <c r="Q499" s="221" t="s">
        <v>1795</v>
      </c>
      <c r="R499" s="125"/>
      <c r="S499" s="125"/>
      <c r="T499" s="125"/>
      <c r="U499" s="125"/>
      <c r="V499" s="125"/>
      <c r="W499" s="125"/>
      <c r="X499" s="125"/>
      <c r="Y499" s="125"/>
      <c r="Z499" s="125"/>
    </row>
    <row r="500">
      <c r="A500" s="33"/>
      <c r="B500" s="33" t="s">
        <v>925</v>
      </c>
      <c r="C500" s="12" t="s">
        <v>1796</v>
      </c>
      <c r="D500" s="49" t="s">
        <v>436</v>
      </c>
      <c r="E500" s="61" t="s">
        <v>1797</v>
      </c>
      <c r="F500" s="123">
        <f t="shared" si="1"/>
        <v>2</v>
      </c>
      <c r="G500" s="121" t="s">
        <v>1798</v>
      </c>
      <c r="H500" s="12"/>
      <c r="I500" s="192" t="str">
        <f>IFERROR(__xludf.DUMMYFUNCTION("regexreplace(lower(C500), ""_"", """")"),"antibioticscode2")</f>
        <v>antibioticscode2</v>
      </c>
      <c r="J500" s="192" t="b">
        <f t="shared" si="34"/>
        <v>1</v>
      </c>
      <c r="K500" s="192" t="str">
        <f>IFERROR(__xludf.DUMMYFUNCTION("regexreplace(G500, ""_"", """")"),"antibioticscode2")</f>
        <v>antibioticscode2</v>
      </c>
      <c r="L5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""$1$2"")"),"antibiotics_code2")</f>
        <v>antibiotics_code2</v>
      </c>
      <c r="M500" s="125"/>
      <c r="N500" s="122"/>
      <c r="O500" s="125"/>
      <c r="P500" s="122" t="s">
        <v>1799</v>
      </c>
      <c r="Q500" s="221" t="s">
        <v>1800</v>
      </c>
      <c r="R500" s="125"/>
      <c r="S500" s="125"/>
      <c r="T500" s="125"/>
      <c r="U500" s="125"/>
      <c r="V500" s="125"/>
      <c r="W500" s="125"/>
      <c r="X500" s="125"/>
      <c r="Y500" s="125"/>
      <c r="Z500" s="125"/>
    </row>
    <row r="501">
      <c r="A501" s="33"/>
      <c r="B501" s="33" t="s">
        <v>925</v>
      </c>
      <c r="C501" s="12" t="s">
        <v>1801</v>
      </c>
      <c r="D501" s="49" t="s">
        <v>436</v>
      </c>
      <c r="E501" s="61" t="s">
        <v>1802</v>
      </c>
      <c r="F501" s="123">
        <f t="shared" si="1"/>
        <v>2</v>
      </c>
      <c r="G501" s="121" t="s">
        <v>1803</v>
      </c>
      <c r="H501" s="12"/>
      <c r="I501" s="192" t="str">
        <f>IFERROR(__xludf.DUMMYFUNCTION("regexreplace(lower(C501), ""_"", """")"),"antibioticscode3")</f>
        <v>antibioticscode3</v>
      </c>
      <c r="J501" s="192" t="b">
        <f t="shared" si="34"/>
        <v>1</v>
      </c>
      <c r="K501" s="192" t="str">
        <f>IFERROR(__xludf.DUMMYFUNCTION("regexreplace(G501, ""_"", """")"),"antibioticscode3")</f>
        <v>antibioticscode3</v>
      </c>
      <c r="L5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""$1$2"")"),"antibiotics_code3")</f>
        <v>antibiotics_code3</v>
      </c>
      <c r="M501" s="125"/>
      <c r="N501" s="122"/>
      <c r="O501" s="125"/>
      <c r="P501" s="122" t="s">
        <v>1804</v>
      </c>
      <c r="Q501" s="221" t="s">
        <v>1805</v>
      </c>
      <c r="R501" s="125"/>
      <c r="S501" s="125"/>
      <c r="T501" s="125"/>
      <c r="U501" s="125"/>
      <c r="V501" s="125"/>
      <c r="W501" s="125"/>
      <c r="X501" s="125"/>
      <c r="Y501" s="125"/>
      <c r="Z501" s="125"/>
    </row>
    <row r="502">
      <c r="A502" s="33"/>
      <c r="B502" s="33" t="s">
        <v>925</v>
      </c>
      <c r="C502" s="12" t="s">
        <v>1806</v>
      </c>
      <c r="D502" s="49" t="s">
        <v>40</v>
      </c>
      <c r="E502" s="61" t="s">
        <v>1807</v>
      </c>
      <c r="F502" s="123">
        <f t="shared" si="1"/>
        <v>1</v>
      </c>
      <c r="G502" s="121" t="s">
        <v>1808</v>
      </c>
      <c r="H502" s="12"/>
      <c r="I502" s="192" t="str">
        <f>IFERROR(__xludf.DUMMYFUNCTION("regexreplace(lower(C502), ""_"", """")"),"rewarmingantibiotics")</f>
        <v>rewarmingantibiotics</v>
      </c>
      <c r="J502" s="192" t="b">
        <f t="shared" si="34"/>
        <v>1</v>
      </c>
      <c r="K502" s="192" t="str">
        <f>IFERROR(__xludf.DUMMYFUNCTION("regexreplace(G502, ""_"", """")"),"rewarmingantibiotics")</f>
        <v>rewarmingantibiotics</v>
      </c>
      <c r="L5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""$1$2"")"),"rewarming_antibiotics")</f>
        <v>rewarming_antibiotics</v>
      </c>
      <c r="M502" s="125"/>
      <c r="N502" s="291"/>
      <c r="O502" s="125"/>
      <c r="P502" s="291"/>
      <c r="Q502" s="221" t="s">
        <v>1809</v>
      </c>
      <c r="R502" s="223"/>
      <c r="S502" s="223"/>
      <c r="T502" s="125"/>
      <c r="U502" s="125"/>
      <c r="V502" s="125"/>
      <c r="W502" s="125"/>
      <c r="X502" s="125"/>
      <c r="Y502" s="125"/>
      <c r="Z502" s="125"/>
    </row>
    <row r="503">
      <c r="A503" s="33"/>
      <c r="B503" s="33" t="s">
        <v>925</v>
      </c>
      <c r="C503" s="12" t="s">
        <v>1810</v>
      </c>
      <c r="D503" s="49" t="s">
        <v>436</v>
      </c>
      <c r="E503" s="61" t="s">
        <v>1811</v>
      </c>
      <c r="F503" s="123">
        <f t="shared" si="1"/>
        <v>1</v>
      </c>
      <c r="G503" s="121" t="s">
        <v>1812</v>
      </c>
      <c r="H503" s="12"/>
      <c r="I503" s="192" t="str">
        <f>IFERROR(__xludf.DUMMYFUNCTION("regexreplace(lower(C503), ""_"", """")"),"rewarmingantibioticscode1")</f>
        <v>rewarmingantibioticscode1</v>
      </c>
      <c r="J503" s="192" t="b">
        <f t="shared" si="34"/>
        <v>1</v>
      </c>
      <c r="K503" s="192" t="str">
        <f>IFERROR(__xludf.DUMMYFUNCTION("regexreplace(G503, ""_"", """")"),"rewarmingantibioticscode1")</f>
        <v>rewarmingantibioticscode1</v>
      </c>
      <c r="L5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""$1$2"")"),"rewarming_antibiotics_code1")</f>
        <v>rewarming_antibiotics_code1</v>
      </c>
      <c r="M503" s="125"/>
      <c r="N503" s="291"/>
      <c r="O503" s="125"/>
      <c r="P503" s="291"/>
      <c r="Q503" s="221" t="s">
        <v>1813</v>
      </c>
      <c r="R503" s="223"/>
      <c r="S503" s="223"/>
      <c r="T503" s="125"/>
      <c r="U503" s="125"/>
      <c r="V503" s="125"/>
      <c r="W503" s="125"/>
      <c r="X503" s="125"/>
      <c r="Y503" s="125"/>
      <c r="Z503" s="125"/>
    </row>
    <row r="504">
      <c r="A504" s="33"/>
      <c r="B504" s="33" t="s">
        <v>925</v>
      </c>
      <c r="C504" s="12" t="s">
        <v>1814</v>
      </c>
      <c r="D504" s="49" t="s">
        <v>436</v>
      </c>
      <c r="E504" s="61" t="s">
        <v>1815</v>
      </c>
      <c r="F504" s="123">
        <f t="shared" si="1"/>
        <v>1</v>
      </c>
      <c r="G504" s="121" t="s">
        <v>1816</v>
      </c>
      <c r="H504" s="12"/>
      <c r="I504" s="192" t="str">
        <f>IFERROR(__xludf.DUMMYFUNCTION("regexreplace(lower(C504), ""_"", """")"),"rewarmingantibioticscode2")</f>
        <v>rewarmingantibioticscode2</v>
      </c>
      <c r="J504" s="192" t="b">
        <f t="shared" si="34"/>
        <v>1</v>
      </c>
      <c r="K504" s="192" t="str">
        <f>IFERROR(__xludf.DUMMYFUNCTION("regexreplace(G504, ""_"", """")"),"rewarmingantibioticscode2")</f>
        <v>rewarmingantibioticscode2</v>
      </c>
      <c r="L5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""$1$2"")"),"rewarming_antibiotics_code2")</f>
        <v>rewarming_antibiotics_code2</v>
      </c>
      <c r="M504" s="125"/>
      <c r="N504" s="291"/>
      <c r="O504" s="125"/>
      <c r="P504" s="291"/>
      <c r="Q504" s="221" t="s">
        <v>1817</v>
      </c>
      <c r="R504" s="223"/>
      <c r="S504" s="223"/>
      <c r="T504" s="125"/>
      <c r="U504" s="125"/>
      <c r="V504" s="125"/>
      <c r="W504" s="125"/>
      <c r="X504" s="125"/>
      <c r="Y504" s="125"/>
      <c r="Z504" s="125"/>
    </row>
    <row r="505">
      <c r="A505" s="33"/>
      <c r="B505" s="33" t="s">
        <v>925</v>
      </c>
      <c r="C505" s="12" t="s">
        <v>1818</v>
      </c>
      <c r="D505" s="49" t="s">
        <v>436</v>
      </c>
      <c r="E505" s="61" t="s">
        <v>1819</v>
      </c>
      <c r="F505" s="123">
        <f t="shared" si="1"/>
        <v>1</v>
      </c>
      <c r="G505" s="121" t="s">
        <v>1820</v>
      </c>
      <c r="H505" s="12"/>
      <c r="I505" s="192" t="str">
        <f>IFERROR(__xludf.DUMMYFUNCTION("regexreplace(lower(C505), ""_"", """")"),"rewarmingantibioticscode3")</f>
        <v>rewarmingantibioticscode3</v>
      </c>
      <c r="J505" s="192" t="b">
        <f t="shared" si="34"/>
        <v>1</v>
      </c>
      <c r="K505" s="192" t="str">
        <f>IFERROR(__xludf.DUMMYFUNCTION("regexreplace(G505, ""_"", """")"),"rewarmingantibioticscode3")</f>
        <v>rewarmingantibioticscode3</v>
      </c>
      <c r="L5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""$1$2"")"),"rewarming_antibiotics_code3")</f>
        <v>rewarming_antibiotics_code3</v>
      </c>
      <c r="M505" s="125"/>
      <c r="N505" s="291"/>
      <c r="O505" s="125"/>
      <c r="P505" s="291"/>
      <c r="Q505" s="221" t="s">
        <v>1821</v>
      </c>
      <c r="R505" s="223"/>
      <c r="S505" s="223"/>
      <c r="T505" s="125"/>
      <c r="U505" s="125"/>
      <c r="V505" s="125"/>
      <c r="W505" s="125"/>
      <c r="X505" s="125"/>
      <c r="Y505" s="125"/>
      <c r="Z505" s="125"/>
    </row>
    <row r="506">
      <c r="A506" s="33"/>
      <c r="B506" s="33" t="s">
        <v>925</v>
      </c>
      <c r="C506" s="12" t="s">
        <v>7712</v>
      </c>
      <c r="D506" s="12" t="s">
        <v>7712</v>
      </c>
      <c r="E506" s="15"/>
      <c r="F506" s="123">
        <f t="shared" si="1"/>
        <v>1</v>
      </c>
      <c r="G506" s="12"/>
      <c r="H506" s="12"/>
      <c r="I506" s="12"/>
      <c r="J506" s="12"/>
      <c r="K506" s="12"/>
      <c r="L506" s="12"/>
      <c r="N506" s="15"/>
      <c r="O506" s="61" t="s">
        <v>7713</v>
      </c>
      <c r="P506" s="15"/>
      <c r="Q506" s="15"/>
      <c r="R506" s="88"/>
      <c r="S506" s="88"/>
    </row>
    <row r="507">
      <c r="A507" s="33"/>
      <c r="B507" s="33"/>
      <c r="C507" s="12"/>
      <c r="D507" s="39"/>
      <c r="E507" s="15"/>
      <c r="F507" s="123">
        <f t="shared" si="1"/>
        <v>0</v>
      </c>
      <c r="G507" s="12"/>
      <c r="H507" s="12"/>
      <c r="I507" s="12"/>
      <c r="J507" s="12"/>
      <c r="K507" s="12"/>
      <c r="L507" s="12"/>
      <c r="N507" s="15"/>
      <c r="P507" s="15"/>
      <c r="Q507" s="15"/>
      <c r="R507" s="88"/>
      <c r="S507" s="88"/>
    </row>
    <row r="508">
      <c r="A508" s="33" t="s">
        <v>1241</v>
      </c>
      <c r="B508" s="33" t="s">
        <v>976</v>
      </c>
      <c r="C508" s="12" t="s">
        <v>1822</v>
      </c>
      <c r="D508" s="12" t="s">
        <v>31</v>
      </c>
      <c r="E508" s="292" t="s">
        <v>1823</v>
      </c>
      <c r="F508" s="123">
        <f t="shared" si="1"/>
        <v>1</v>
      </c>
      <c r="G508" s="121" t="s">
        <v>7714</v>
      </c>
      <c r="H508" s="12"/>
      <c r="I508" s="192" t="str">
        <f>IFERROR(__xludf.DUMMYFUNCTION("regexreplace(lower(C508), ""_"", """")"),"othermedtimeslot")</f>
        <v>othermedtimeslot</v>
      </c>
      <c r="J508" s="192" t="b">
        <f t="shared" ref="J508:J528" si="35">exact(I508, K508)</f>
        <v>0</v>
      </c>
      <c r="K508" s="192" t="str">
        <f>IFERROR(__xludf.DUMMYFUNCTION("regexreplace(G508, ""_"", """")"),"othermedinterval")</f>
        <v>othermedinterval</v>
      </c>
      <c r="L5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""$1$2"")"),"other_med_time_slot")</f>
        <v>other_med_time_slot</v>
      </c>
      <c r="N508" s="202"/>
      <c r="P508" s="293" t="s">
        <v>1825</v>
      </c>
      <c r="Q508" s="290"/>
      <c r="R508" s="207"/>
      <c r="S508" s="207"/>
    </row>
    <row r="509">
      <c r="A509" s="33"/>
      <c r="B509" s="33" t="s">
        <v>976</v>
      </c>
      <c r="C509" s="12" t="s">
        <v>1826</v>
      </c>
      <c r="D509" s="12" t="s">
        <v>26</v>
      </c>
      <c r="E509" s="294" t="s">
        <v>978</v>
      </c>
      <c r="F509" s="123">
        <f t="shared" si="1"/>
        <v>1</v>
      </c>
      <c r="G509" s="121" t="s">
        <v>1827</v>
      </c>
      <c r="H509" s="12"/>
      <c r="I509" s="192" t="str">
        <f>IFERROR(__xludf.DUMMYFUNCTION("regexreplace(lower(C509), ""_"", """")"),"othermedtargetdate")</f>
        <v>othermedtargetdate</v>
      </c>
      <c r="J509" s="192" t="b">
        <f t="shared" si="35"/>
        <v>1</v>
      </c>
      <c r="K509" s="192" t="str">
        <f>IFERROR(__xludf.DUMMYFUNCTION("regexreplace(G509, ""_"", """")"),"othermedtargetdate")</f>
        <v>othermedtargetdate</v>
      </c>
      <c r="L5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""$1$2"")"),"other_med_target_date")</f>
        <v>other_med_target_date</v>
      </c>
      <c r="N509" s="194" t="s">
        <v>7416</v>
      </c>
      <c r="P509" s="202" t="s">
        <v>1828</v>
      </c>
      <c r="Q509" s="290"/>
      <c r="R509" s="207"/>
      <c r="S509" s="207"/>
    </row>
    <row r="510">
      <c r="A510" s="33"/>
      <c r="B510" s="33" t="s">
        <v>976</v>
      </c>
      <c r="C510" s="12" t="s">
        <v>1829</v>
      </c>
      <c r="D510" s="12" t="s">
        <v>145</v>
      </c>
      <c r="E510" s="294" t="s">
        <v>981</v>
      </c>
      <c r="F510" s="123">
        <f t="shared" si="1"/>
        <v>1</v>
      </c>
      <c r="G510" s="121" t="s">
        <v>1830</v>
      </c>
      <c r="H510" s="12"/>
      <c r="I510" s="192" t="str">
        <f>IFERROR(__xludf.DUMMYFUNCTION("regexreplace(lower(C510), ""_"", """")"),"othermedtargettime")</f>
        <v>othermedtargettime</v>
      </c>
      <c r="J510" s="192" t="b">
        <f t="shared" si="35"/>
        <v>1</v>
      </c>
      <c r="K510" s="192" t="str">
        <f>IFERROR(__xludf.DUMMYFUNCTION("regexreplace(G510, ""_"", """")"),"othermedtargettime")</f>
        <v>othermedtargettime</v>
      </c>
      <c r="L5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""$1$2"")"),"other_med_target_time")</f>
        <v>other_med_target_time</v>
      </c>
      <c r="N510" s="202"/>
      <c r="P510" s="202" t="s">
        <v>1831</v>
      </c>
      <c r="Q510" s="290"/>
      <c r="R510" s="207"/>
      <c r="S510" s="207"/>
    </row>
    <row r="511">
      <c r="A511" s="33"/>
      <c r="B511" s="33" t="s">
        <v>976</v>
      </c>
      <c r="C511" s="12" t="s">
        <v>984</v>
      </c>
      <c r="D511" s="12" t="s">
        <v>984</v>
      </c>
      <c r="E511" s="295" t="s">
        <v>985</v>
      </c>
      <c r="F511" s="123">
        <f t="shared" si="1"/>
        <v>1</v>
      </c>
      <c r="G511" s="121" t="s">
        <v>984</v>
      </c>
      <c r="H511" s="12"/>
      <c r="I511" s="192" t="str">
        <f>IFERROR(__xludf.DUMMYFUNCTION("regexreplace(lower(C511), ""_"", """")"),"anticonvulsants")</f>
        <v>anticonvulsants</v>
      </c>
      <c r="J511" s="192" t="b">
        <f t="shared" si="35"/>
        <v>1</v>
      </c>
      <c r="K511" s="192" t="str">
        <f>IFERROR(__xludf.DUMMYFUNCTION("regexreplace(G511, ""_"", """")"),"anticonvulsants")</f>
        <v>anticonvulsants</v>
      </c>
      <c r="L5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""$1$2"")"),"anticonvulsants")</f>
        <v>anticonvulsants</v>
      </c>
      <c r="N511" s="202"/>
      <c r="P511" s="202" t="s">
        <v>1832</v>
      </c>
      <c r="Q511" s="290"/>
      <c r="R511" s="207"/>
      <c r="S511" s="207"/>
    </row>
    <row r="512">
      <c r="A512" s="33"/>
      <c r="B512" s="33" t="s">
        <v>976</v>
      </c>
      <c r="C512" s="12" t="s">
        <v>1833</v>
      </c>
      <c r="D512" s="12" t="s">
        <v>984</v>
      </c>
      <c r="E512" s="13" t="s">
        <v>988</v>
      </c>
      <c r="F512" s="123">
        <f t="shared" si="1"/>
        <v>2</v>
      </c>
      <c r="G512" s="121" t="s">
        <v>1833</v>
      </c>
      <c r="H512" s="12"/>
      <c r="I512" s="192" t="str">
        <f>IFERROR(__xludf.DUMMYFUNCTION("regexreplace(lower(C512), ""_"", """")"),"anticonvulsants1")</f>
        <v>anticonvulsants1</v>
      </c>
      <c r="J512" s="192" t="b">
        <f t="shared" si="35"/>
        <v>1</v>
      </c>
      <c r="K512" s="192" t="str">
        <f>IFERROR(__xludf.DUMMYFUNCTION("regexreplace(G512, ""_"", """")"),"anticonvulsants1")</f>
        <v>anticonvulsants1</v>
      </c>
      <c r="L5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""$1$2"")"),"anticonvulsants1")</f>
        <v>anticonvulsants1</v>
      </c>
      <c r="N512" s="151"/>
      <c r="P512" s="151" t="s">
        <v>1834</v>
      </c>
      <c r="Q512" s="151" t="s">
        <v>1835</v>
      </c>
      <c r="R512" s="207"/>
      <c r="S512" s="207"/>
    </row>
    <row r="513">
      <c r="A513" s="33"/>
      <c r="B513" s="33" t="s">
        <v>976</v>
      </c>
      <c r="C513" s="12" t="s">
        <v>1836</v>
      </c>
      <c r="D513" s="12" t="s">
        <v>984</v>
      </c>
      <c r="E513" s="13" t="s">
        <v>991</v>
      </c>
      <c r="F513" s="123">
        <f t="shared" si="1"/>
        <v>2</v>
      </c>
      <c r="G513" s="121" t="s">
        <v>1836</v>
      </c>
      <c r="H513" s="12"/>
      <c r="I513" s="192" t="str">
        <f>IFERROR(__xludf.DUMMYFUNCTION("regexreplace(lower(C513), ""_"", """")"),"anticonvulsants2")</f>
        <v>anticonvulsants2</v>
      </c>
      <c r="J513" s="192" t="b">
        <f t="shared" si="35"/>
        <v>1</v>
      </c>
      <c r="K513" s="192" t="str">
        <f>IFERROR(__xludf.DUMMYFUNCTION("regexreplace(G513, ""_"", """")"),"anticonvulsants2")</f>
        <v>anticonvulsants2</v>
      </c>
      <c r="L5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""$1$2"")"),"anticonvulsants2")</f>
        <v>anticonvulsants2</v>
      </c>
      <c r="N513" s="151"/>
      <c r="P513" s="151" t="s">
        <v>1837</v>
      </c>
      <c r="Q513" s="151" t="s">
        <v>1838</v>
      </c>
      <c r="R513" s="207"/>
      <c r="S513" s="207"/>
    </row>
    <row r="514">
      <c r="A514" s="33"/>
      <c r="B514" s="33" t="s">
        <v>976</v>
      </c>
      <c r="C514" s="12" t="s">
        <v>1839</v>
      </c>
      <c r="D514" s="12" t="s">
        <v>984</v>
      </c>
      <c r="E514" s="13" t="s">
        <v>994</v>
      </c>
      <c r="F514" s="123">
        <f t="shared" si="1"/>
        <v>2</v>
      </c>
      <c r="G514" s="121" t="s">
        <v>1839</v>
      </c>
      <c r="H514" s="12"/>
      <c r="I514" s="192" t="str">
        <f>IFERROR(__xludf.DUMMYFUNCTION("regexreplace(lower(C514), ""_"", """")"),"anticonvulsants3")</f>
        <v>anticonvulsants3</v>
      </c>
      <c r="J514" s="192" t="b">
        <f t="shared" si="35"/>
        <v>1</v>
      </c>
      <c r="K514" s="192" t="str">
        <f>IFERROR(__xludf.DUMMYFUNCTION("regexreplace(G514, ""_"", """")"),"anticonvulsants3")</f>
        <v>anticonvulsants3</v>
      </c>
      <c r="L5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""$1$2"")"),"anticonvulsants3")</f>
        <v>anticonvulsants3</v>
      </c>
      <c r="N514" s="151"/>
      <c r="P514" s="151" t="s">
        <v>1840</v>
      </c>
      <c r="Q514" s="151" t="s">
        <v>1841</v>
      </c>
      <c r="R514" s="207"/>
      <c r="S514" s="207"/>
    </row>
    <row r="515">
      <c r="A515" s="33"/>
      <c r="B515" s="33" t="s">
        <v>976</v>
      </c>
      <c r="C515" s="12" t="s">
        <v>997</v>
      </c>
      <c r="D515" s="12" t="s">
        <v>997</v>
      </c>
      <c r="E515" s="296" t="s">
        <v>998</v>
      </c>
      <c r="F515" s="123">
        <f t="shared" si="1"/>
        <v>1</v>
      </c>
      <c r="G515" s="121" t="s">
        <v>997</v>
      </c>
      <c r="H515" s="12"/>
      <c r="I515" s="192" t="str">
        <f>IFERROR(__xludf.DUMMYFUNCTION("regexreplace(lower(C515), ""_"", """")"),"analgesics")</f>
        <v>analgesics</v>
      </c>
      <c r="J515" s="192" t="b">
        <f t="shared" si="35"/>
        <v>1</v>
      </c>
      <c r="K515" s="192" t="str">
        <f>IFERROR(__xludf.DUMMYFUNCTION("regexreplace(G515, ""_"", """")"),"analgesics")</f>
        <v>analgesics</v>
      </c>
      <c r="L5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""$1$2"")"),"analgesics")</f>
        <v>analgesics</v>
      </c>
      <c r="N515" s="205"/>
      <c r="P515" s="205" t="s">
        <v>1842</v>
      </c>
      <c r="Q515" s="297"/>
      <c r="R515" s="207"/>
      <c r="S515" s="207"/>
    </row>
    <row r="516">
      <c r="A516" s="33"/>
      <c r="B516" s="33" t="s">
        <v>976</v>
      </c>
      <c r="C516" s="12" t="s">
        <v>1843</v>
      </c>
      <c r="D516" s="12" t="s">
        <v>997</v>
      </c>
      <c r="E516" s="13" t="s">
        <v>1001</v>
      </c>
      <c r="F516" s="123">
        <f t="shared" si="1"/>
        <v>2</v>
      </c>
      <c r="G516" s="121" t="s">
        <v>1844</v>
      </c>
      <c r="H516" s="12"/>
      <c r="I516" s="192" t="str">
        <f>IFERROR(__xludf.DUMMYFUNCTION("regexreplace(lower(C516), ""_"", """")"),"analgesicssedatives1")</f>
        <v>analgesicssedatives1</v>
      </c>
      <c r="J516" s="192" t="b">
        <f t="shared" si="35"/>
        <v>1</v>
      </c>
      <c r="K516" s="192" t="str">
        <f>IFERROR(__xludf.DUMMYFUNCTION("regexreplace(G516, ""_"", """")"),"analgesicssedatives1")</f>
        <v>analgesicssedatives1</v>
      </c>
      <c r="L5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""$1$2"")"),"analgesics_sedatives1")</f>
        <v>analgesics_sedatives1</v>
      </c>
      <c r="N516" s="151"/>
      <c r="P516" s="151" t="s">
        <v>1845</v>
      </c>
      <c r="Q516" s="151" t="s">
        <v>1846</v>
      </c>
      <c r="R516" s="207"/>
      <c r="S516" s="207"/>
    </row>
    <row r="517">
      <c r="A517" s="33"/>
      <c r="B517" s="33" t="s">
        <v>976</v>
      </c>
      <c r="C517" s="12" t="s">
        <v>1847</v>
      </c>
      <c r="D517" s="12" t="s">
        <v>997</v>
      </c>
      <c r="E517" s="13" t="s">
        <v>1004</v>
      </c>
      <c r="F517" s="123">
        <f t="shared" si="1"/>
        <v>2</v>
      </c>
      <c r="G517" s="121" t="s">
        <v>1848</v>
      </c>
      <c r="H517" s="12"/>
      <c r="I517" s="192" t="str">
        <f>IFERROR(__xludf.DUMMYFUNCTION("regexreplace(lower(C517), ""_"", """")"),"analgesicssedatives2")</f>
        <v>analgesicssedatives2</v>
      </c>
      <c r="J517" s="192" t="b">
        <f t="shared" si="35"/>
        <v>1</v>
      </c>
      <c r="K517" s="192" t="str">
        <f>IFERROR(__xludf.DUMMYFUNCTION("regexreplace(G517, ""_"", """")"),"analgesicssedatives2")</f>
        <v>analgesicssedatives2</v>
      </c>
      <c r="L5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""$1$2"")"),"analgesics_sedatives2")</f>
        <v>analgesics_sedatives2</v>
      </c>
      <c r="N517" s="151"/>
      <c r="P517" s="151" t="s">
        <v>1849</v>
      </c>
      <c r="Q517" s="151" t="s">
        <v>1850</v>
      </c>
      <c r="R517" s="207"/>
      <c r="S517" s="207"/>
    </row>
    <row r="518">
      <c r="A518" s="33"/>
      <c r="B518" s="33" t="s">
        <v>976</v>
      </c>
      <c r="C518" s="12" t="s">
        <v>1851</v>
      </c>
      <c r="D518" s="12" t="s">
        <v>997</v>
      </c>
      <c r="E518" s="13" t="s">
        <v>1007</v>
      </c>
      <c r="F518" s="123">
        <f t="shared" si="1"/>
        <v>2</v>
      </c>
      <c r="G518" s="121" t="s">
        <v>1852</v>
      </c>
      <c r="H518" s="12"/>
      <c r="I518" s="192" t="str">
        <f>IFERROR(__xludf.DUMMYFUNCTION("regexreplace(lower(C518), ""_"", """")"),"analgesicssedatives3")</f>
        <v>analgesicssedatives3</v>
      </c>
      <c r="J518" s="192" t="b">
        <f t="shared" si="35"/>
        <v>1</v>
      </c>
      <c r="K518" s="192" t="str">
        <f>IFERROR(__xludf.DUMMYFUNCTION("regexreplace(G518, ""_"", """")"),"analgesicssedatives3")</f>
        <v>analgesicssedatives3</v>
      </c>
      <c r="L5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""$1$2"")"),"analgesics_sedatives3")</f>
        <v>analgesics_sedatives3</v>
      </c>
      <c r="N518" s="151"/>
      <c r="P518" s="151" t="s">
        <v>1853</v>
      </c>
      <c r="Q518" s="151" t="s">
        <v>1854</v>
      </c>
      <c r="R518" s="207"/>
      <c r="S518" s="207"/>
    </row>
    <row r="519">
      <c r="A519" s="33"/>
      <c r="B519" s="33" t="s">
        <v>976</v>
      </c>
      <c r="C519" s="12" t="s">
        <v>1010</v>
      </c>
      <c r="D519" s="12" t="s">
        <v>1010</v>
      </c>
      <c r="E519" s="296" t="s">
        <v>1011</v>
      </c>
      <c r="F519" s="123">
        <f t="shared" si="1"/>
        <v>1</v>
      </c>
      <c r="G519" s="121" t="s">
        <v>1010</v>
      </c>
      <c r="H519" s="12"/>
      <c r="I519" s="192" t="str">
        <f>IFERROR(__xludf.DUMMYFUNCTION("regexreplace(lower(C519), ""_"", """")"),"antipyretics")</f>
        <v>antipyretics</v>
      </c>
      <c r="J519" s="192" t="b">
        <f t="shared" si="35"/>
        <v>1</v>
      </c>
      <c r="K519" s="192" t="str">
        <f>IFERROR(__xludf.DUMMYFUNCTION("regexreplace(G519, ""_"", """")"),"antipyretics")</f>
        <v>antipyretics</v>
      </c>
      <c r="L5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""$1$2"")"),"antipyretics")</f>
        <v>antipyretics</v>
      </c>
      <c r="N519" s="205"/>
      <c r="P519" s="205" t="s">
        <v>1855</v>
      </c>
      <c r="Q519" s="297"/>
      <c r="R519" s="207"/>
      <c r="S519" s="207"/>
    </row>
    <row r="520">
      <c r="A520" s="33"/>
      <c r="B520" s="33" t="s">
        <v>976</v>
      </c>
      <c r="C520" s="12" t="s">
        <v>1856</v>
      </c>
      <c r="D520" s="12" t="s">
        <v>1010</v>
      </c>
      <c r="E520" s="13" t="s">
        <v>1014</v>
      </c>
      <c r="F520" s="123">
        <f t="shared" si="1"/>
        <v>2</v>
      </c>
      <c r="G520" s="121" t="s">
        <v>1856</v>
      </c>
      <c r="H520" s="12"/>
      <c r="I520" s="192" t="str">
        <f>IFERROR(__xludf.DUMMYFUNCTION("regexreplace(lower(C520), ""_"", """")"),"antipyretics1")</f>
        <v>antipyretics1</v>
      </c>
      <c r="J520" s="192" t="b">
        <f t="shared" si="35"/>
        <v>1</v>
      </c>
      <c r="K520" s="192" t="str">
        <f>IFERROR(__xludf.DUMMYFUNCTION("regexreplace(G520, ""_"", """")"),"antipyretics1")</f>
        <v>antipyretics1</v>
      </c>
      <c r="L5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""$1$2"")"),"antipyretics1")</f>
        <v>antipyretics1</v>
      </c>
      <c r="N520" s="151"/>
      <c r="P520" s="151" t="s">
        <v>1857</v>
      </c>
      <c r="Q520" s="151" t="s">
        <v>1858</v>
      </c>
      <c r="R520" s="207"/>
      <c r="S520" s="207"/>
    </row>
    <row r="521">
      <c r="A521" s="33"/>
      <c r="B521" s="33" t="s">
        <v>976</v>
      </c>
      <c r="C521" s="12" t="s">
        <v>1859</v>
      </c>
      <c r="D521" s="12" t="s">
        <v>1010</v>
      </c>
      <c r="E521" s="13" t="s">
        <v>1017</v>
      </c>
      <c r="F521" s="123">
        <f t="shared" si="1"/>
        <v>2</v>
      </c>
      <c r="G521" s="121" t="s">
        <v>1859</v>
      </c>
      <c r="H521" s="12"/>
      <c r="I521" s="192" t="str">
        <f>IFERROR(__xludf.DUMMYFUNCTION("regexreplace(lower(C521), ""_"", """")"),"antipyretics2")</f>
        <v>antipyretics2</v>
      </c>
      <c r="J521" s="192" t="b">
        <f t="shared" si="35"/>
        <v>1</v>
      </c>
      <c r="K521" s="192" t="str">
        <f>IFERROR(__xludf.DUMMYFUNCTION("regexreplace(G521, ""_"", """")"),"antipyretics2")</f>
        <v>antipyretics2</v>
      </c>
      <c r="L5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""$1$2"")"),"antipyretics2")</f>
        <v>antipyretics2</v>
      </c>
      <c r="N521" s="151"/>
      <c r="P521" s="151" t="s">
        <v>1860</v>
      </c>
      <c r="Q521" s="151" t="s">
        <v>1861</v>
      </c>
      <c r="R521" s="207"/>
      <c r="S521" s="207"/>
    </row>
    <row r="522">
      <c r="A522" s="33"/>
      <c r="B522" s="33" t="s">
        <v>976</v>
      </c>
      <c r="C522" s="12" t="s">
        <v>1862</v>
      </c>
      <c r="D522" s="12" t="s">
        <v>1010</v>
      </c>
      <c r="E522" s="13" t="s">
        <v>1020</v>
      </c>
      <c r="F522" s="123">
        <f t="shared" si="1"/>
        <v>2</v>
      </c>
      <c r="G522" s="121" t="s">
        <v>1862</v>
      </c>
      <c r="H522" s="12"/>
      <c r="I522" s="192" t="str">
        <f>IFERROR(__xludf.DUMMYFUNCTION("regexreplace(lower(C522), ""_"", """")"),"antipyretics3")</f>
        <v>antipyretics3</v>
      </c>
      <c r="J522" s="192" t="b">
        <f t="shared" si="35"/>
        <v>1</v>
      </c>
      <c r="K522" s="192" t="str">
        <f>IFERROR(__xludf.DUMMYFUNCTION("regexreplace(G522, ""_"", """")"),"antipyretics3")</f>
        <v>antipyretics3</v>
      </c>
      <c r="L5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""$1$2"")"),"antipyretics3")</f>
        <v>antipyretics3</v>
      </c>
      <c r="N522" s="151"/>
      <c r="P522" s="151" t="s">
        <v>1863</v>
      </c>
      <c r="Q522" s="151" t="s">
        <v>1864</v>
      </c>
      <c r="R522" s="207"/>
      <c r="S522" s="207"/>
    </row>
    <row r="523">
      <c r="A523" s="33"/>
      <c r="B523" s="33" t="s">
        <v>976</v>
      </c>
      <c r="C523" s="12" t="s">
        <v>1023</v>
      </c>
      <c r="D523" s="12" t="s">
        <v>1023</v>
      </c>
      <c r="E523" s="13"/>
      <c r="F523" s="123">
        <f t="shared" si="1"/>
        <v>1</v>
      </c>
      <c r="G523" s="121" t="s">
        <v>1023</v>
      </c>
      <c r="H523" s="12"/>
      <c r="I523" s="192" t="str">
        <f>IFERROR(__xludf.DUMMYFUNCTION("regexreplace(lower(C523), ""_"", """")"),"paralytics")</f>
        <v>paralytics</v>
      </c>
      <c r="J523" s="192" t="b">
        <f t="shared" si="35"/>
        <v>1</v>
      </c>
      <c r="K523" s="192" t="str">
        <f>IFERROR(__xludf.DUMMYFUNCTION("regexreplace(G523, ""_"", """")"),"paralytics")</f>
        <v>paralytics</v>
      </c>
      <c r="L5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""$1$2"")"),"paralytics")</f>
        <v>paralytics</v>
      </c>
      <c r="N523" s="151"/>
      <c r="P523" s="151" t="s">
        <v>1865</v>
      </c>
      <c r="Q523" s="151"/>
      <c r="R523" s="207"/>
      <c r="S523" s="207"/>
    </row>
    <row r="524">
      <c r="A524" s="33"/>
      <c r="B524" s="33" t="s">
        <v>976</v>
      </c>
      <c r="C524" s="12" t="s">
        <v>1866</v>
      </c>
      <c r="D524" s="12" t="s">
        <v>1023</v>
      </c>
      <c r="E524" s="13" t="s">
        <v>1026</v>
      </c>
      <c r="F524" s="123">
        <f t="shared" si="1"/>
        <v>2</v>
      </c>
      <c r="G524" s="121" t="s">
        <v>1866</v>
      </c>
      <c r="H524" s="12"/>
      <c r="I524" s="192" t="str">
        <f>IFERROR(__xludf.DUMMYFUNCTION("regexreplace(lower(C524), ""_"", """")"),"paralytics1")</f>
        <v>paralytics1</v>
      </c>
      <c r="J524" s="192" t="b">
        <f t="shared" si="35"/>
        <v>1</v>
      </c>
      <c r="K524" s="192" t="str">
        <f>IFERROR(__xludf.DUMMYFUNCTION("regexreplace(G524, ""_"", """")"),"paralytics1")</f>
        <v>paralytics1</v>
      </c>
      <c r="L5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""$1$2"")"),"paralytics1")</f>
        <v>paralytics1</v>
      </c>
      <c r="N524" s="151"/>
      <c r="P524" s="151" t="s">
        <v>1867</v>
      </c>
      <c r="Q524" s="151" t="s">
        <v>1868</v>
      </c>
      <c r="R524" s="207"/>
      <c r="S524" s="207"/>
    </row>
    <row r="525">
      <c r="A525" s="33"/>
      <c r="B525" s="33" t="s">
        <v>976</v>
      </c>
      <c r="C525" s="12" t="s">
        <v>1869</v>
      </c>
      <c r="D525" s="12" t="s">
        <v>1023</v>
      </c>
      <c r="E525" s="13" t="s">
        <v>1029</v>
      </c>
      <c r="F525" s="123">
        <f t="shared" si="1"/>
        <v>2</v>
      </c>
      <c r="G525" s="121" t="s">
        <v>1869</v>
      </c>
      <c r="H525" s="12"/>
      <c r="I525" s="192" t="str">
        <f>IFERROR(__xludf.DUMMYFUNCTION("regexreplace(lower(C525), ""_"", """")"),"paralytics2")</f>
        <v>paralytics2</v>
      </c>
      <c r="J525" s="192" t="b">
        <f t="shared" si="35"/>
        <v>1</v>
      </c>
      <c r="K525" s="192" t="str">
        <f>IFERROR(__xludf.DUMMYFUNCTION("regexreplace(G525, ""_"", """")"),"paralytics2")</f>
        <v>paralytics2</v>
      </c>
      <c r="L5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""$1$2"")"),"paralytics2")</f>
        <v>paralytics2</v>
      </c>
      <c r="N525" s="151"/>
      <c r="P525" s="151" t="s">
        <v>1870</v>
      </c>
      <c r="Q525" s="151" t="s">
        <v>1871</v>
      </c>
      <c r="R525" s="207"/>
      <c r="S525" s="207"/>
    </row>
    <row r="526">
      <c r="A526" s="33"/>
      <c r="B526" s="33" t="s">
        <v>976</v>
      </c>
      <c r="C526" s="12" t="s">
        <v>1872</v>
      </c>
      <c r="D526" s="12" t="s">
        <v>1023</v>
      </c>
      <c r="E526" s="13" t="s">
        <v>1032</v>
      </c>
      <c r="F526" s="123">
        <f t="shared" si="1"/>
        <v>2</v>
      </c>
      <c r="G526" s="121" t="s">
        <v>1872</v>
      </c>
      <c r="H526" s="12"/>
      <c r="I526" s="192" t="str">
        <f>IFERROR(__xludf.DUMMYFUNCTION("regexreplace(lower(C526), ""_"", """")"),"paralytics3")</f>
        <v>paralytics3</v>
      </c>
      <c r="J526" s="192" t="b">
        <f t="shared" si="35"/>
        <v>1</v>
      </c>
      <c r="K526" s="192" t="str">
        <f>IFERROR(__xludf.DUMMYFUNCTION("regexreplace(G526, ""_"", """")"),"paralytics3")</f>
        <v>paralytics3</v>
      </c>
      <c r="L5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""$1$2"")"),"paralytics3")</f>
        <v>paralytics3</v>
      </c>
      <c r="N526" s="151"/>
      <c r="P526" s="151" t="s">
        <v>1873</v>
      </c>
      <c r="Q526" s="151" t="s">
        <v>1874</v>
      </c>
      <c r="R526" s="207"/>
      <c r="S526" s="207"/>
    </row>
    <row r="527">
      <c r="A527" s="33"/>
      <c r="B527" s="33" t="s">
        <v>976</v>
      </c>
      <c r="C527" s="12" t="s">
        <v>1875</v>
      </c>
      <c r="D527" s="12" t="s">
        <v>483</v>
      </c>
      <c r="E527" s="15" t="s">
        <v>1035</v>
      </c>
      <c r="F527" s="123">
        <f t="shared" si="1"/>
        <v>2</v>
      </c>
      <c r="G527" s="121" t="s">
        <v>7715</v>
      </c>
      <c r="H527" s="12"/>
      <c r="I527" s="192" t="str">
        <f>IFERROR(__xludf.DUMMYFUNCTION("regexreplace(lower(C527), ""_"", """")"),"othermedfluidintakeccperkg")</f>
        <v>othermedfluidintakeccperkg</v>
      </c>
      <c r="J527" s="192" t="b">
        <f t="shared" si="35"/>
        <v>0</v>
      </c>
      <c r="K527" s="192" t="str">
        <f>IFERROR(__xludf.DUMMYFUNCTION("regexreplace(G527, ""_"", """")"),"othermedfluidintake")</f>
        <v>othermedfluidintake</v>
      </c>
      <c r="L5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""$1$2"")"),"other_med_fluid_intake_cc_per_kg")</f>
        <v>other_med_fluid_intake_cc_per_kg</v>
      </c>
      <c r="N527" s="151"/>
      <c r="P527" s="151" t="s">
        <v>1877</v>
      </c>
      <c r="Q527" s="151" t="s">
        <v>1878</v>
      </c>
      <c r="R527" s="207"/>
      <c r="S527" s="207"/>
    </row>
    <row r="528">
      <c r="A528" s="33"/>
      <c r="B528" s="33" t="s">
        <v>976</v>
      </c>
      <c r="C528" s="12" t="s">
        <v>1879</v>
      </c>
      <c r="D528" s="12" t="s">
        <v>483</v>
      </c>
      <c r="E528" s="15" t="s">
        <v>1038</v>
      </c>
      <c r="F528" s="123">
        <f t="shared" si="1"/>
        <v>2</v>
      </c>
      <c r="G528" s="121" t="s">
        <v>7716</v>
      </c>
      <c r="H528" s="12"/>
      <c r="I528" s="192" t="str">
        <f>IFERROR(__xludf.DUMMYFUNCTION("regexreplace(lower(C528), ""_"", """")"),"othermedurineoutputccperkg")</f>
        <v>othermedurineoutputccperkg</v>
      </c>
      <c r="J528" s="192" t="b">
        <f t="shared" si="35"/>
        <v>0</v>
      </c>
      <c r="K528" s="192" t="str">
        <f>IFERROR(__xludf.DUMMYFUNCTION("regexreplace(G528, ""_"", """")"),"othermedurineoutput")</f>
        <v>othermedurineoutput</v>
      </c>
      <c r="L5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""$1$2"")"),"other_med_urine_output_cc_per_kg")</f>
        <v>other_med_urine_output_cc_per_kg</v>
      </c>
      <c r="N528" s="151"/>
      <c r="P528" s="151" t="s">
        <v>1881</v>
      </c>
      <c r="Q528" s="151" t="s">
        <v>1882</v>
      </c>
      <c r="R528" s="207"/>
      <c r="S528" s="207"/>
    </row>
    <row r="529">
      <c r="A529" s="33"/>
      <c r="B529" s="33"/>
      <c r="C529" s="12"/>
      <c r="D529" s="12"/>
      <c r="E529" s="15"/>
      <c r="F529" s="123">
        <f t="shared" si="1"/>
        <v>0</v>
      </c>
      <c r="G529" s="12"/>
      <c r="H529" s="12"/>
      <c r="I529" s="12"/>
      <c r="J529" s="12"/>
      <c r="K529" s="12"/>
      <c r="L529" s="12"/>
      <c r="N529" s="15"/>
      <c r="P529" s="15"/>
      <c r="Q529" s="15"/>
      <c r="R529" s="88"/>
      <c r="S529" s="88"/>
    </row>
    <row r="530">
      <c r="A530" s="33" t="s">
        <v>1241</v>
      </c>
      <c r="B530" s="33" t="s">
        <v>1040</v>
      </c>
      <c r="C530" s="12" t="s">
        <v>1883</v>
      </c>
      <c r="D530" s="12" t="s">
        <v>31</v>
      </c>
      <c r="E530" s="15" t="s">
        <v>1884</v>
      </c>
      <c r="F530" s="123">
        <f t="shared" si="1"/>
        <v>2</v>
      </c>
      <c r="G530" s="12" t="s">
        <v>7717</v>
      </c>
      <c r="H530" s="12"/>
      <c r="I530" s="12" t="str">
        <f>IFERROR(__xludf.DUMMYFUNCTION("regexreplace(lower(C530), ""_"", """")"),"imagingtimeslot")</f>
        <v>imagingtimeslot</v>
      </c>
      <c r="J530" s="12" t="b">
        <f t="shared" ref="J530:J566" si="36">exact(I530, K530)</f>
        <v>0</v>
      </c>
      <c r="K530" s="12" t="str">
        <f>IFERROR(__xludf.DUMMYFUNCTION("regexreplace(G530, ""_"", """")"),"imaginginterval")</f>
        <v>imaginginterval</v>
      </c>
      <c r="L53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""$1$2"")"),"imaging_time_slot")</f>
        <v>imaging_time_slot</v>
      </c>
      <c r="N530" s="15"/>
      <c r="P530" s="15" t="s">
        <v>1886</v>
      </c>
      <c r="Q530" s="15" t="s">
        <v>1887</v>
      </c>
      <c r="R530" s="88"/>
      <c r="S530" s="88"/>
    </row>
    <row r="531">
      <c r="A531" s="33"/>
      <c r="B531" s="33" t="s">
        <v>1040</v>
      </c>
      <c r="C531" s="12" t="s">
        <v>1888</v>
      </c>
      <c r="D531" s="12" t="s">
        <v>40</v>
      </c>
      <c r="E531" s="15" t="s">
        <v>1042</v>
      </c>
      <c r="F531" s="123">
        <f t="shared" si="1"/>
        <v>2</v>
      </c>
      <c r="G531" s="12" t="s">
        <v>1889</v>
      </c>
      <c r="H531" s="12"/>
      <c r="I531" s="12" t="str">
        <f>IFERROR(__xludf.DUMMYFUNCTION("regexreplace(lower(C531), ""_"", """")"),"headsonogram")</f>
        <v>headsonogram</v>
      </c>
      <c r="J531" s="12" t="b">
        <f t="shared" si="36"/>
        <v>1</v>
      </c>
      <c r="K531" s="12" t="str">
        <f>IFERROR(__xludf.DUMMYFUNCTION("regexreplace(G531, ""_"", """")"),"headsonogram")</f>
        <v>headsonogram</v>
      </c>
      <c r="L53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""$1$2"")"),"head_sonogram")</f>
        <v>head_sonogram</v>
      </c>
      <c r="N531" s="61" t="s">
        <v>7540</v>
      </c>
      <c r="P531" s="15" t="s">
        <v>1890</v>
      </c>
      <c r="Q531" s="15" t="s">
        <v>1891</v>
      </c>
      <c r="R531" s="88"/>
      <c r="S531" s="88"/>
    </row>
    <row r="532">
      <c r="A532" s="33"/>
      <c r="B532" s="33" t="s">
        <v>1040</v>
      </c>
      <c r="C532" s="12" t="s">
        <v>1892</v>
      </c>
      <c r="D532" s="12" t="s">
        <v>26</v>
      </c>
      <c r="E532" s="15" t="s">
        <v>1045</v>
      </c>
      <c r="F532" s="123">
        <f t="shared" si="1"/>
        <v>2</v>
      </c>
      <c r="G532" s="12" t="s">
        <v>1893</v>
      </c>
      <c r="H532" s="12"/>
      <c r="I532" s="12" t="str">
        <f>IFERROR(__xludf.DUMMYFUNCTION("regexreplace(lower(C532), ""_"", """")"),"headsonogramdate")</f>
        <v>headsonogramdate</v>
      </c>
      <c r="J532" s="12" t="b">
        <f t="shared" si="36"/>
        <v>1</v>
      </c>
      <c r="K532" s="12" t="str">
        <f>IFERROR(__xludf.DUMMYFUNCTION("regexreplace(G532, ""_"", """")"),"headsonogramdate")</f>
        <v>headsonogramdate</v>
      </c>
      <c r="L53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""$1$2"")"),"head_sonogram_date")</f>
        <v>head_sonogram_date</v>
      </c>
      <c r="N532" s="61" t="s">
        <v>7542</v>
      </c>
      <c r="P532" s="15" t="s">
        <v>1894</v>
      </c>
      <c r="Q532" s="15" t="s">
        <v>1895</v>
      </c>
      <c r="R532" s="88"/>
      <c r="S532" s="88"/>
    </row>
    <row r="533">
      <c r="A533" s="33"/>
      <c r="B533" s="33" t="s">
        <v>1040</v>
      </c>
      <c r="C533" s="12" t="s">
        <v>1896</v>
      </c>
      <c r="D533" s="12" t="s">
        <v>145</v>
      </c>
      <c r="E533" s="15" t="s">
        <v>1048</v>
      </c>
      <c r="F533" s="123">
        <f t="shared" si="1"/>
        <v>2</v>
      </c>
      <c r="G533" s="12" t="s">
        <v>1897</v>
      </c>
      <c r="H533" s="12"/>
      <c r="I533" s="12" t="str">
        <f>IFERROR(__xludf.DUMMYFUNCTION("regexreplace(lower(C533), ""_"", """")"),"headsonogramtime")</f>
        <v>headsonogramtime</v>
      </c>
      <c r="J533" s="12" t="b">
        <f t="shared" si="36"/>
        <v>1</v>
      </c>
      <c r="K533" s="12" t="str">
        <f>IFERROR(__xludf.DUMMYFUNCTION("regexreplace(G533, ""_"", """")"),"headsonogramtime")</f>
        <v>headsonogramtime</v>
      </c>
      <c r="L53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""$1$2"")"),"head_sonogram_time")</f>
        <v>head_sonogram_time</v>
      </c>
      <c r="N533" s="15"/>
      <c r="P533" s="15" t="s">
        <v>1898</v>
      </c>
      <c r="Q533" s="15" t="s">
        <v>1899</v>
      </c>
      <c r="R533" s="88"/>
      <c r="S533" s="88"/>
    </row>
    <row r="534">
      <c r="A534" s="33"/>
      <c r="B534" s="33" t="s">
        <v>1040</v>
      </c>
      <c r="C534" s="12" t="s">
        <v>1900</v>
      </c>
      <c r="D534" s="12" t="s">
        <v>1051</v>
      </c>
      <c r="E534" s="15" t="s">
        <v>1052</v>
      </c>
      <c r="F534" s="123">
        <f t="shared" si="1"/>
        <v>2</v>
      </c>
      <c r="G534" s="12" t="s">
        <v>7718</v>
      </c>
      <c r="H534" s="12"/>
      <c r="I534" s="12" t="str">
        <f>IFERROR(__xludf.DUMMYFUNCTION("regexreplace(lower(C534), ""_"", """")"),"headsonogramresult1")</f>
        <v>headsonogramresult1</v>
      </c>
      <c r="J534" s="12" t="b">
        <f t="shared" si="36"/>
        <v>0</v>
      </c>
      <c r="K534" s="12" t="str">
        <f>IFERROR(__xludf.DUMMYFUNCTION("regexreplace(G534, ""_"", """")"),"headsonogramresulta")</f>
        <v>headsonogramresulta</v>
      </c>
      <c r="L53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""$1$2"")"),"head_sonogram_result1")</f>
        <v>head_sonogram_result1</v>
      </c>
      <c r="N534" s="15" t="s">
        <v>7545</v>
      </c>
      <c r="P534" s="15" t="s">
        <v>1902</v>
      </c>
      <c r="Q534" s="15" t="s">
        <v>1903</v>
      </c>
      <c r="R534" s="88"/>
      <c r="S534" s="88"/>
    </row>
    <row r="535">
      <c r="A535" s="33"/>
      <c r="B535" s="33" t="s">
        <v>1040</v>
      </c>
      <c r="C535" s="12" t="s">
        <v>1904</v>
      </c>
      <c r="D535" s="12" t="s">
        <v>1051</v>
      </c>
      <c r="E535" s="15" t="s">
        <v>1055</v>
      </c>
      <c r="F535" s="123">
        <f t="shared" si="1"/>
        <v>2</v>
      </c>
      <c r="G535" s="12" t="s">
        <v>7719</v>
      </c>
      <c r="H535" s="12"/>
      <c r="I535" s="12" t="str">
        <f>IFERROR(__xludf.DUMMYFUNCTION("regexreplace(lower(C535), ""_"", """")"),"headsonogramresult2")</f>
        <v>headsonogramresult2</v>
      </c>
      <c r="J535" s="12" t="b">
        <f t="shared" si="36"/>
        <v>0</v>
      </c>
      <c r="K535" s="12" t="str">
        <f>IFERROR(__xludf.DUMMYFUNCTION("regexreplace(G535, ""_"", """")"),"headsonogramresultb")</f>
        <v>headsonogramresultb</v>
      </c>
      <c r="L53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""$1$2"")"),"head_sonogram_result2")</f>
        <v>head_sonogram_result2</v>
      </c>
      <c r="N535" s="15" t="s">
        <v>7545</v>
      </c>
      <c r="P535" s="15" t="s">
        <v>1906</v>
      </c>
      <c r="Q535" s="15" t="s">
        <v>1907</v>
      </c>
      <c r="R535" s="88"/>
      <c r="S535" s="88"/>
    </row>
    <row r="536">
      <c r="A536" s="33"/>
      <c r="B536" s="33" t="s">
        <v>1040</v>
      </c>
      <c r="C536" s="12" t="s">
        <v>1908</v>
      </c>
      <c r="D536" s="12" t="s">
        <v>1051</v>
      </c>
      <c r="E536" s="15" t="s">
        <v>1058</v>
      </c>
      <c r="F536" s="123">
        <f t="shared" si="1"/>
        <v>2</v>
      </c>
      <c r="G536" s="12" t="s">
        <v>7720</v>
      </c>
      <c r="H536" s="12"/>
      <c r="I536" s="12" t="str">
        <f>IFERROR(__xludf.DUMMYFUNCTION("regexreplace(lower(C536), ""_"", """")"),"headsonogramresult3")</f>
        <v>headsonogramresult3</v>
      </c>
      <c r="J536" s="12" t="b">
        <f t="shared" si="36"/>
        <v>0</v>
      </c>
      <c r="K536" s="12" t="str">
        <f>IFERROR(__xludf.DUMMYFUNCTION("regexreplace(G536, ""_"", """")"),"headsonogramresultc")</f>
        <v>headsonogramresultc</v>
      </c>
      <c r="L53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""$1$2"")"),"head_sonogram_result3")</f>
        <v>head_sonogram_result3</v>
      </c>
      <c r="N536" s="15" t="s">
        <v>7545</v>
      </c>
      <c r="P536" s="15" t="s">
        <v>1910</v>
      </c>
      <c r="Q536" s="15" t="s">
        <v>1911</v>
      </c>
      <c r="R536" s="88"/>
      <c r="S536" s="88"/>
    </row>
    <row r="537">
      <c r="A537" s="33"/>
      <c r="B537" s="33" t="s">
        <v>1040</v>
      </c>
      <c r="C537" s="12" t="s">
        <v>1912</v>
      </c>
      <c r="D537" s="12" t="s">
        <v>1051</v>
      </c>
      <c r="E537" s="15" t="s">
        <v>1061</v>
      </c>
      <c r="F537" s="123">
        <f t="shared" si="1"/>
        <v>2</v>
      </c>
      <c r="G537" s="12" t="s">
        <v>7721</v>
      </c>
      <c r="H537" s="12"/>
      <c r="I537" s="12" t="str">
        <f>IFERROR(__xludf.DUMMYFUNCTION("regexreplace(lower(C537), ""_"", """")"),"headsonogramresult4")</f>
        <v>headsonogramresult4</v>
      </c>
      <c r="J537" s="12" t="b">
        <f t="shared" si="36"/>
        <v>0</v>
      </c>
      <c r="K537" s="12" t="str">
        <f>IFERROR(__xludf.DUMMYFUNCTION("regexreplace(G537, ""_"", """")"),"headsonogramresultd")</f>
        <v>headsonogramresultd</v>
      </c>
      <c r="L53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""$1$2"")"),"head_sonogram_result4")</f>
        <v>head_sonogram_result4</v>
      </c>
      <c r="N537" s="15" t="s">
        <v>7545</v>
      </c>
      <c r="P537" s="15" t="s">
        <v>1914</v>
      </c>
      <c r="Q537" s="15" t="s">
        <v>1915</v>
      </c>
      <c r="R537" s="88"/>
      <c r="S537" s="88"/>
    </row>
    <row r="538">
      <c r="A538" s="33"/>
      <c r="B538" s="33" t="s">
        <v>1040</v>
      </c>
      <c r="C538" s="12" t="s">
        <v>1916</v>
      </c>
      <c r="D538" s="12" t="s">
        <v>1051</v>
      </c>
      <c r="E538" s="15" t="s">
        <v>1064</v>
      </c>
      <c r="F538" s="123">
        <f t="shared" si="1"/>
        <v>2</v>
      </c>
      <c r="G538" s="12" t="s">
        <v>7722</v>
      </c>
      <c r="H538" s="12"/>
      <c r="I538" s="12" t="str">
        <f>IFERROR(__xludf.DUMMYFUNCTION("regexreplace(lower(C538), ""_"", """")"),"headsonogramresult5")</f>
        <v>headsonogramresult5</v>
      </c>
      <c r="J538" s="12" t="b">
        <f t="shared" si="36"/>
        <v>0</v>
      </c>
      <c r="K538" s="12" t="str">
        <f>IFERROR(__xludf.DUMMYFUNCTION("regexreplace(G538, ""_"", """")"),"headsonogramresulte")</f>
        <v>headsonogramresulte</v>
      </c>
      <c r="L53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""$1$2"")"),"head_sonogram_result5")</f>
        <v>head_sonogram_result5</v>
      </c>
      <c r="N538" s="15" t="s">
        <v>7545</v>
      </c>
      <c r="P538" s="15" t="s">
        <v>1918</v>
      </c>
      <c r="Q538" s="15" t="s">
        <v>1919</v>
      </c>
      <c r="R538" s="88"/>
      <c r="S538" s="88"/>
    </row>
    <row r="539">
      <c r="A539" s="33"/>
      <c r="B539" s="33" t="s">
        <v>1040</v>
      </c>
      <c r="C539" s="12" t="s">
        <v>1920</v>
      </c>
      <c r="D539" s="12" t="s">
        <v>1051</v>
      </c>
      <c r="E539" s="15" t="s">
        <v>1067</v>
      </c>
      <c r="F539" s="123">
        <f t="shared" si="1"/>
        <v>2</v>
      </c>
      <c r="G539" s="12" t="s">
        <v>7723</v>
      </c>
      <c r="H539" s="12"/>
      <c r="I539" s="12" t="str">
        <f>IFERROR(__xludf.DUMMYFUNCTION("regexreplace(lower(C539), ""_"", """")"),"headsonogramresult6")</f>
        <v>headsonogramresult6</v>
      </c>
      <c r="J539" s="12" t="b">
        <f t="shared" si="36"/>
        <v>0</v>
      </c>
      <c r="K539" s="12" t="str">
        <f>IFERROR(__xludf.DUMMYFUNCTION("regexreplace(G539, ""_"", """")"),"headsonogramresultf")</f>
        <v>headsonogramresultf</v>
      </c>
      <c r="L53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""$1$2"")"),"head_sonogram_result6")</f>
        <v>head_sonogram_result6</v>
      </c>
      <c r="N539" s="15" t="s">
        <v>7545</v>
      </c>
      <c r="P539" s="15" t="s">
        <v>1922</v>
      </c>
      <c r="Q539" s="15" t="s">
        <v>1923</v>
      </c>
      <c r="R539" s="88"/>
      <c r="S539" s="88"/>
    </row>
    <row r="540">
      <c r="A540" s="33"/>
      <c r="B540" s="33" t="s">
        <v>1040</v>
      </c>
      <c r="C540" s="12" t="s">
        <v>1924</v>
      </c>
      <c r="D540" s="12" t="s">
        <v>1051</v>
      </c>
      <c r="E540" s="15" t="s">
        <v>1070</v>
      </c>
      <c r="F540" s="123">
        <f t="shared" si="1"/>
        <v>2</v>
      </c>
      <c r="G540" s="12" t="s">
        <v>7724</v>
      </c>
      <c r="H540" s="12"/>
      <c r="I540" s="12" t="str">
        <f>IFERROR(__xludf.DUMMYFUNCTION("regexreplace(lower(C540), ""_"", """")"),"headsonogramresult7")</f>
        <v>headsonogramresult7</v>
      </c>
      <c r="J540" s="12" t="b">
        <f t="shared" si="36"/>
        <v>0</v>
      </c>
      <c r="K540" s="12" t="str">
        <f>IFERROR(__xludf.DUMMYFUNCTION("regexreplace(G540, ""_"", """")"),"headsonogramresultg")</f>
        <v>headsonogramresultg</v>
      </c>
      <c r="L54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""$1$2"")"),"head_sonogram_result7")</f>
        <v>head_sonogram_result7</v>
      </c>
      <c r="N540" s="15" t="s">
        <v>7545</v>
      </c>
      <c r="P540" s="15" t="s">
        <v>1926</v>
      </c>
      <c r="Q540" s="15" t="s">
        <v>1927</v>
      </c>
      <c r="R540" s="88"/>
      <c r="S540" s="88"/>
    </row>
    <row r="541">
      <c r="A541" s="33"/>
      <c r="B541" s="33" t="s">
        <v>1040</v>
      </c>
      <c r="C541" s="12" t="s">
        <v>1928</v>
      </c>
      <c r="D541" s="12" t="s">
        <v>1051</v>
      </c>
      <c r="E541" s="15" t="s">
        <v>1073</v>
      </c>
      <c r="F541" s="123">
        <f t="shared" si="1"/>
        <v>2</v>
      </c>
      <c r="G541" s="12" t="s">
        <v>7725</v>
      </c>
      <c r="H541" s="12"/>
      <c r="I541" s="12" t="str">
        <f>IFERROR(__xludf.DUMMYFUNCTION("regexreplace(lower(C541), ""_"", """")"),"headsonogramresult8")</f>
        <v>headsonogramresult8</v>
      </c>
      <c r="J541" s="12" t="b">
        <f t="shared" si="36"/>
        <v>0</v>
      </c>
      <c r="K541" s="12" t="str">
        <f>IFERROR(__xludf.DUMMYFUNCTION("regexreplace(G541, ""_"", """")"),"headsonogramresulth")</f>
        <v>headsonogramresulth</v>
      </c>
      <c r="L54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""$1$2"")"),"head_sonogram_result8")</f>
        <v>head_sonogram_result8</v>
      </c>
      <c r="N541" s="15" t="s">
        <v>7545</v>
      </c>
      <c r="P541" s="15" t="s">
        <v>1930</v>
      </c>
      <c r="Q541" s="15" t="s">
        <v>1931</v>
      </c>
      <c r="R541" s="88"/>
      <c r="S541" s="88"/>
    </row>
    <row r="542">
      <c r="A542" s="33"/>
      <c r="B542" s="33" t="s">
        <v>1040</v>
      </c>
      <c r="C542" s="12" t="s">
        <v>1932</v>
      </c>
      <c r="D542" s="12" t="s">
        <v>16</v>
      </c>
      <c r="E542" s="15" t="s">
        <v>1076</v>
      </c>
      <c r="F542" s="123">
        <f t="shared" si="1"/>
        <v>2</v>
      </c>
      <c r="G542" s="12" t="s">
        <v>1933</v>
      </c>
      <c r="H542" s="12"/>
      <c r="I542" s="12" t="str">
        <f>IFERROR(__xludf.DUMMYFUNCTION("regexreplace(lower(C542), ""_"", """")"),"headsonogramresulttext")</f>
        <v>headsonogramresulttext</v>
      </c>
      <c r="J542" s="12" t="b">
        <f t="shared" si="36"/>
        <v>1</v>
      </c>
      <c r="K542" s="12" t="str">
        <f>IFERROR(__xludf.DUMMYFUNCTION("regexreplace(G542, ""_"", """")"),"headsonogramresulttext")</f>
        <v>headsonogramresulttext</v>
      </c>
      <c r="L54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""$1$2"")"),"head_sonogram_result_text")</f>
        <v>head_sonogram_result_text</v>
      </c>
      <c r="N542" s="15"/>
      <c r="P542" s="15" t="s">
        <v>1934</v>
      </c>
      <c r="Q542" s="15" t="s">
        <v>1935</v>
      </c>
      <c r="R542" s="88"/>
      <c r="S542" s="88"/>
    </row>
    <row r="543">
      <c r="A543" s="33"/>
      <c r="B543" s="33" t="s">
        <v>1040</v>
      </c>
      <c r="C543" s="12" t="s">
        <v>1936</v>
      </c>
      <c r="D543" s="12" t="s">
        <v>40</v>
      </c>
      <c r="E543" s="15" t="s">
        <v>1079</v>
      </c>
      <c r="F543" s="123">
        <f t="shared" si="1"/>
        <v>2</v>
      </c>
      <c r="G543" s="12" t="s">
        <v>1937</v>
      </c>
      <c r="H543" s="12"/>
      <c r="I543" s="12" t="str">
        <f>IFERROR(__xludf.DUMMYFUNCTION("regexreplace(lower(C543), ""_"", """")"),"headct")</f>
        <v>headct</v>
      </c>
      <c r="J543" s="12" t="b">
        <f t="shared" si="36"/>
        <v>1</v>
      </c>
      <c r="K543" s="12" t="str">
        <f>IFERROR(__xludf.DUMMYFUNCTION("regexreplace(G543, ""_"", """")"),"headct")</f>
        <v>headct</v>
      </c>
      <c r="L54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""$1$2"")"),"head_ct")</f>
        <v>head_ct</v>
      </c>
      <c r="N543" s="61" t="s">
        <v>7540</v>
      </c>
      <c r="P543" s="15" t="s">
        <v>1938</v>
      </c>
      <c r="Q543" s="15" t="s">
        <v>1939</v>
      </c>
      <c r="R543" s="88"/>
      <c r="S543" s="88"/>
    </row>
    <row r="544">
      <c r="A544" s="33"/>
      <c r="B544" s="33" t="s">
        <v>1040</v>
      </c>
      <c r="C544" s="12" t="s">
        <v>1940</v>
      </c>
      <c r="D544" s="12" t="s">
        <v>26</v>
      </c>
      <c r="E544" s="15" t="s">
        <v>1082</v>
      </c>
      <c r="F544" s="123">
        <f t="shared" si="1"/>
        <v>2</v>
      </c>
      <c r="G544" s="12" t="s">
        <v>1941</v>
      </c>
      <c r="H544" s="12"/>
      <c r="I544" s="12" t="str">
        <f>IFERROR(__xludf.DUMMYFUNCTION("regexreplace(lower(C544), ""_"", """")"),"headctdate")</f>
        <v>headctdate</v>
      </c>
      <c r="J544" s="12" t="b">
        <f t="shared" si="36"/>
        <v>1</v>
      </c>
      <c r="K544" s="12" t="str">
        <f>IFERROR(__xludf.DUMMYFUNCTION("regexreplace(G544, ""_"", """")"),"headctdate")</f>
        <v>headctdate</v>
      </c>
      <c r="L54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""$1$2"")"),"head_ct_date")</f>
        <v>head_ct_date</v>
      </c>
      <c r="N544" s="61" t="s">
        <v>7542</v>
      </c>
      <c r="P544" s="15" t="s">
        <v>1942</v>
      </c>
      <c r="Q544" s="15" t="s">
        <v>1943</v>
      </c>
      <c r="R544" s="88"/>
      <c r="S544" s="88"/>
    </row>
    <row r="545">
      <c r="A545" s="33"/>
      <c r="B545" s="33" t="s">
        <v>1040</v>
      </c>
      <c r="C545" s="12" t="s">
        <v>1944</v>
      </c>
      <c r="D545" s="12" t="s">
        <v>145</v>
      </c>
      <c r="E545" s="15" t="s">
        <v>1085</v>
      </c>
      <c r="F545" s="123">
        <f t="shared" si="1"/>
        <v>2</v>
      </c>
      <c r="G545" s="12" t="s">
        <v>1945</v>
      </c>
      <c r="H545" s="12"/>
      <c r="I545" s="12" t="str">
        <f>IFERROR(__xludf.DUMMYFUNCTION("regexreplace(lower(C545), ""_"", """")"),"headcttime")</f>
        <v>headcttime</v>
      </c>
      <c r="J545" s="12" t="b">
        <f t="shared" si="36"/>
        <v>1</v>
      </c>
      <c r="K545" s="12" t="str">
        <f>IFERROR(__xludf.DUMMYFUNCTION("regexreplace(G545, ""_"", """")"),"headcttime")</f>
        <v>headcttime</v>
      </c>
      <c r="L54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""$1$2"")"),"head_ct_time")</f>
        <v>head_ct_time</v>
      </c>
      <c r="N545" s="15"/>
      <c r="P545" s="15" t="s">
        <v>1946</v>
      </c>
      <c r="Q545" s="15" t="s">
        <v>1947</v>
      </c>
      <c r="R545" s="88"/>
      <c r="S545" s="88"/>
    </row>
    <row r="546">
      <c r="A546" s="33"/>
      <c r="B546" s="33" t="s">
        <v>1040</v>
      </c>
      <c r="C546" s="12" t="s">
        <v>1948</v>
      </c>
      <c r="D546" s="12" t="s">
        <v>1051</v>
      </c>
      <c r="E546" s="15" t="s">
        <v>1088</v>
      </c>
      <c r="F546" s="123">
        <f t="shared" si="1"/>
        <v>2</v>
      </c>
      <c r="G546" s="12" t="s">
        <v>7726</v>
      </c>
      <c r="H546" s="12"/>
      <c r="I546" s="12" t="str">
        <f>IFERROR(__xludf.DUMMYFUNCTION("regexreplace(lower(C546), ""_"", """")"),"headctresult1")</f>
        <v>headctresult1</v>
      </c>
      <c r="J546" s="12" t="b">
        <f t="shared" si="36"/>
        <v>0</v>
      </c>
      <c r="K546" s="12" t="str">
        <f>IFERROR(__xludf.DUMMYFUNCTION("regexreplace(G546, ""_"", """")"),"headctresulta")</f>
        <v>headctresulta</v>
      </c>
      <c r="L54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""$1$2"")"),"head_ct_result1")</f>
        <v>head_ct_result1</v>
      </c>
      <c r="N546" s="15" t="s">
        <v>7545</v>
      </c>
      <c r="P546" s="15" t="s">
        <v>1950</v>
      </c>
      <c r="Q546" s="15" t="s">
        <v>1951</v>
      </c>
      <c r="R546" s="88"/>
      <c r="S546" s="88"/>
    </row>
    <row r="547">
      <c r="A547" s="33"/>
      <c r="B547" s="33" t="s">
        <v>1040</v>
      </c>
      <c r="C547" s="12" t="s">
        <v>1952</v>
      </c>
      <c r="D547" s="12" t="s">
        <v>1051</v>
      </c>
      <c r="E547" s="15" t="s">
        <v>1091</v>
      </c>
      <c r="F547" s="123">
        <f t="shared" si="1"/>
        <v>2</v>
      </c>
      <c r="G547" s="12" t="s">
        <v>7727</v>
      </c>
      <c r="H547" s="12"/>
      <c r="I547" s="12" t="str">
        <f>IFERROR(__xludf.DUMMYFUNCTION("regexreplace(lower(C547), ""_"", """")"),"headctresult2")</f>
        <v>headctresult2</v>
      </c>
      <c r="J547" s="12" t="b">
        <f t="shared" si="36"/>
        <v>0</v>
      </c>
      <c r="K547" s="12" t="str">
        <f>IFERROR(__xludf.DUMMYFUNCTION("regexreplace(G547, ""_"", """")"),"headctresultb")</f>
        <v>headctresultb</v>
      </c>
      <c r="L54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""$1$2"")"),"head_ct_result2")</f>
        <v>head_ct_result2</v>
      </c>
      <c r="N547" s="15" t="s">
        <v>7545</v>
      </c>
      <c r="P547" s="15" t="s">
        <v>1954</v>
      </c>
      <c r="Q547" s="15" t="s">
        <v>1955</v>
      </c>
      <c r="R547" s="88"/>
      <c r="S547" s="88"/>
    </row>
    <row r="548">
      <c r="A548" s="33"/>
      <c r="B548" s="33" t="s">
        <v>1040</v>
      </c>
      <c r="C548" s="12" t="s">
        <v>1956</v>
      </c>
      <c r="D548" s="12" t="s">
        <v>1051</v>
      </c>
      <c r="E548" s="15" t="s">
        <v>1094</v>
      </c>
      <c r="F548" s="123">
        <f t="shared" si="1"/>
        <v>2</v>
      </c>
      <c r="G548" s="12" t="s">
        <v>7728</v>
      </c>
      <c r="H548" s="12"/>
      <c r="I548" s="12" t="str">
        <f>IFERROR(__xludf.DUMMYFUNCTION("regexreplace(lower(C548), ""_"", """")"),"headctresult3")</f>
        <v>headctresult3</v>
      </c>
      <c r="J548" s="12" t="b">
        <f t="shared" si="36"/>
        <v>0</v>
      </c>
      <c r="K548" s="12" t="str">
        <f>IFERROR(__xludf.DUMMYFUNCTION("regexreplace(G548, ""_"", """")"),"headctresultc")</f>
        <v>headctresultc</v>
      </c>
      <c r="L54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""$1$2"")"),"head_ct_result3")</f>
        <v>head_ct_result3</v>
      </c>
      <c r="N548" s="15" t="s">
        <v>7545</v>
      </c>
      <c r="P548" s="15" t="s">
        <v>1958</v>
      </c>
      <c r="Q548" s="15" t="s">
        <v>1959</v>
      </c>
      <c r="R548" s="88"/>
      <c r="S548" s="88"/>
    </row>
    <row r="549">
      <c r="A549" s="33"/>
      <c r="B549" s="33" t="s">
        <v>1040</v>
      </c>
      <c r="C549" s="12" t="s">
        <v>1960</v>
      </c>
      <c r="D549" s="12" t="s">
        <v>1051</v>
      </c>
      <c r="E549" s="15" t="s">
        <v>1097</v>
      </c>
      <c r="F549" s="123">
        <f t="shared" si="1"/>
        <v>2</v>
      </c>
      <c r="G549" s="12" t="s">
        <v>7729</v>
      </c>
      <c r="H549" s="12"/>
      <c r="I549" s="12" t="str">
        <f>IFERROR(__xludf.DUMMYFUNCTION("regexreplace(lower(C549), ""_"", """")"),"headctresult4")</f>
        <v>headctresult4</v>
      </c>
      <c r="J549" s="12" t="b">
        <f t="shared" si="36"/>
        <v>0</v>
      </c>
      <c r="K549" s="12" t="str">
        <f>IFERROR(__xludf.DUMMYFUNCTION("regexreplace(G549, ""_"", """")"),"headctresultd")</f>
        <v>headctresultd</v>
      </c>
      <c r="L54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""$1$2"")"),"head_ct_result4")</f>
        <v>head_ct_result4</v>
      </c>
      <c r="N549" s="15" t="s">
        <v>7545</v>
      </c>
      <c r="P549" s="15" t="s">
        <v>1962</v>
      </c>
      <c r="Q549" s="15" t="s">
        <v>1963</v>
      </c>
      <c r="R549" s="88"/>
      <c r="S549" s="88"/>
    </row>
    <row r="550">
      <c r="A550" s="33"/>
      <c r="B550" s="33" t="s">
        <v>1040</v>
      </c>
      <c r="C550" s="12" t="s">
        <v>1964</v>
      </c>
      <c r="D550" s="12" t="s">
        <v>1051</v>
      </c>
      <c r="E550" s="15" t="s">
        <v>1100</v>
      </c>
      <c r="F550" s="123">
        <f t="shared" si="1"/>
        <v>2</v>
      </c>
      <c r="G550" s="12" t="s">
        <v>7730</v>
      </c>
      <c r="H550" s="12"/>
      <c r="I550" s="12" t="str">
        <f>IFERROR(__xludf.DUMMYFUNCTION("regexreplace(lower(C550), ""_"", """")"),"headctresult5")</f>
        <v>headctresult5</v>
      </c>
      <c r="J550" s="12" t="b">
        <f t="shared" si="36"/>
        <v>0</v>
      </c>
      <c r="K550" s="12" t="str">
        <f>IFERROR(__xludf.DUMMYFUNCTION("regexreplace(G550, ""_"", """")"),"headctresulte")</f>
        <v>headctresulte</v>
      </c>
      <c r="L55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""$1$2"")"),"head_ct_result5")</f>
        <v>head_ct_result5</v>
      </c>
      <c r="N550" s="15" t="s">
        <v>7545</v>
      </c>
      <c r="P550" s="15" t="s">
        <v>1966</v>
      </c>
      <c r="Q550" s="15" t="s">
        <v>1967</v>
      </c>
      <c r="R550" s="88"/>
      <c r="S550" s="88"/>
    </row>
    <row r="551">
      <c r="A551" s="33"/>
      <c r="B551" s="33" t="s">
        <v>1040</v>
      </c>
      <c r="C551" s="12" t="s">
        <v>1968</v>
      </c>
      <c r="D551" s="12" t="s">
        <v>1051</v>
      </c>
      <c r="E551" s="15" t="s">
        <v>1103</v>
      </c>
      <c r="F551" s="123">
        <f t="shared" si="1"/>
        <v>2</v>
      </c>
      <c r="G551" s="12" t="s">
        <v>7731</v>
      </c>
      <c r="H551" s="12"/>
      <c r="I551" s="12" t="str">
        <f>IFERROR(__xludf.DUMMYFUNCTION("regexreplace(lower(C551), ""_"", """")"),"headctresult6")</f>
        <v>headctresult6</v>
      </c>
      <c r="J551" s="12" t="b">
        <f t="shared" si="36"/>
        <v>0</v>
      </c>
      <c r="K551" s="12" t="str">
        <f>IFERROR(__xludf.DUMMYFUNCTION("regexreplace(G551, ""_"", """")"),"headctresultf")</f>
        <v>headctresultf</v>
      </c>
      <c r="L55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""$1$2"")"),"head_ct_result6")</f>
        <v>head_ct_result6</v>
      </c>
      <c r="N551" s="15" t="s">
        <v>7545</v>
      </c>
      <c r="P551" s="15" t="s">
        <v>1970</v>
      </c>
      <c r="Q551" s="15" t="s">
        <v>1971</v>
      </c>
      <c r="R551" s="88"/>
      <c r="S551" s="88"/>
    </row>
    <row r="552">
      <c r="A552" s="33"/>
      <c r="B552" s="33" t="s">
        <v>1040</v>
      </c>
      <c r="C552" s="12" t="s">
        <v>1972</v>
      </c>
      <c r="D552" s="12" t="s">
        <v>1051</v>
      </c>
      <c r="E552" s="15" t="s">
        <v>1106</v>
      </c>
      <c r="F552" s="123">
        <f t="shared" si="1"/>
        <v>2</v>
      </c>
      <c r="G552" s="12" t="s">
        <v>7732</v>
      </c>
      <c r="H552" s="12"/>
      <c r="I552" s="12" t="str">
        <f>IFERROR(__xludf.DUMMYFUNCTION("regexreplace(lower(C552), ""_"", """")"),"headctresult7")</f>
        <v>headctresult7</v>
      </c>
      <c r="J552" s="12" t="b">
        <f t="shared" si="36"/>
        <v>0</v>
      </c>
      <c r="K552" s="12" t="str">
        <f>IFERROR(__xludf.DUMMYFUNCTION("regexreplace(G552, ""_"", """")"),"headctresultg")</f>
        <v>headctresultg</v>
      </c>
      <c r="L55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""$1$2"")"),"head_ct_result7")</f>
        <v>head_ct_result7</v>
      </c>
      <c r="N552" s="15" t="s">
        <v>7545</v>
      </c>
      <c r="P552" s="15" t="s">
        <v>1974</v>
      </c>
      <c r="Q552" s="15" t="s">
        <v>1975</v>
      </c>
      <c r="R552" s="88"/>
      <c r="S552" s="88"/>
    </row>
    <row r="553">
      <c r="A553" s="33"/>
      <c r="B553" s="33" t="s">
        <v>1040</v>
      </c>
      <c r="C553" s="12" t="s">
        <v>1976</v>
      </c>
      <c r="D553" s="12" t="s">
        <v>1051</v>
      </c>
      <c r="E553" s="15" t="s">
        <v>1109</v>
      </c>
      <c r="F553" s="123">
        <f t="shared" si="1"/>
        <v>2</v>
      </c>
      <c r="G553" s="12" t="s">
        <v>7733</v>
      </c>
      <c r="H553" s="12"/>
      <c r="I553" s="12" t="str">
        <f>IFERROR(__xludf.DUMMYFUNCTION("regexreplace(lower(C553), ""_"", """")"),"headctresult8")</f>
        <v>headctresult8</v>
      </c>
      <c r="J553" s="12" t="b">
        <f t="shared" si="36"/>
        <v>0</v>
      </c>
      <c r="K553" s="12" t="str">
        <f>IFERROR(__xludf.DUMMYFUNCTION("regexreplace(G553, ""_"", """")"),"headctresulth")</f>
        <v>headctresulth</v>
      </c>
      <c r="L55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""$1$2"")"),"head_ct_result8")</f>
        <v>head_ct_result8</v>
      </c>
      <c r="N553" s="15" t="s">
        <v>7545</v>
      </c>
      <c r="P553" s="15" t="s">
        <v>1978</v>
      </c>
      <c r="Q553" s="15" t="s">
        <v>1979</v>
      </c>
      <c r="R553" s="88"/>
      <c r="S553" s="88"/>
    </row>
    <row r="554">
      <c r="A554" s="33"/>
      <c r="B554" s="33" t="s">
        <v>1040</v>
      </c>
      <c r="C554" s="12" t="s">
        <v>1980</v>
      </c>
      <c r="D554" s="12" t="s">
        <v>16</v>
      </c>
      <c r="E554" s="15" t="s">
        <v>1112</v>
      </c>
      <c r="F554" s="123">
        <f t="shared" si="1"/>
        <v>2</v>
      </c>
      <c r="G554" s="12" t="s">
        <v>1981</v>
      </c>
      <c r="H554" s="12"/>
      <c r="I554" s="12" t="str">
        <f>IFERROR(__xludf.DUMMYFUNCTION("regexreplace(lower(C554), ""_"", """")"),"headctresulttext")</f>
        <v>headctresulttext</v>
      </c>
      <c r="J554" s="12" t="b">
        <f t="shared" si="36"/>
        <v>1</v>
      </c>
      <c r="K554" s="12" t="str">
        <f>IFERROR(__xludf.DUMMYFUNCTION("regexreplace(G554, ""_"", """")"),"headctresulttext")</f>
        <v>headctresulttext</v>
      </c>
      <c r="L55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""$1$2"")"),"head_ct_result_text")</f>
        <v>head_ct_result_text</v>
      </c>
      <c r="N554" s="15"/>
      <c r="P554" s="15" t="s">
        <v>1982</v>
      </c>
      <c r="Q554" s="15" t="s">
        <v>1983</v>
      </c>
      <c r="R554" s="88"/>
      <c r="S554" s="88"/>
    </row>
    <row r="555">
      <c r="A555" s="33"/>
      <c r="B555" s="33" t="s">
        <v>1040</v>
      </c>
      <c r="C555" s="12" t="s">
        <v>1984</v>
      </c>
      <c r="D555" s="12" t="s">
        <v>40</v>
      </c>
      <c r="E555" s="15" t="s">
        <v>1115</v>
      </c>
      <c r="F555" s="123">
        <f t="shared" si="1"/>
        <v>2</v>
      </c>
      <c r="G555" s="12" t="s">
        <v>1985</v>
      </c>
      <c r="H555" s="12"/>
      <c r="I555" s="12" t="str">
        <f>IFERROR(__xludf.DUMMYFUNCTION("regexreplace(lower(C555), ""_"", """")"),"brainmri")</f>
        <v>brainmri</v>
      </c>
      <c r="J555" s="12" t="b">
        <f t="shared" si="36"/>
        <v>1</v>
      </c>
      <c r="K555" s="12" t="str">
        <f>IFERROR(__xludf.DUMMYFUNCTION("regexreplace(G555, ""_"", """")"),"brainmri")</f>
        <v>brainmri</v>
      </c>
      <c r="L55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""$1$2"")"),"brain_mri")</f>
        <v>brain_mri</v>
      </c>
      <c r="N555" s="61" t="s">
        <v>7540</v>
      </c>
      <c r="P555" s="15" t="s">
        <v>1986</v>
      </c>
      <c r="Q555" s="15" t="s">
        <v>1987</v>
      </c>
      <c r="R555" s="88"/>
      <c r="S555" s="88"/>
    </row>
    <row r="556">
      <c r="A556" s="33"/>
      <c r="B556" s="33" t="s">
        <v>1040</v>
      </c>
      <c r="C556" s="12" t="s">
        <v>1988</v>
      </c>
      <c r="D556" s="12" t="s">
        <v>26</v>
      </c>
      <c r="E556" s="15" t="s">
        <v>1118</v>
      </c>
      <c r="F556" s="123">
        <f t="shared" si="1"/>
        <v>2</v>
      </c>
      <c r="G556" s="12" t="s">
        <v>1989</v>
      </c>
      <c r="H556" s="12"/>
      <c r="I556" s="12" t="str">
        <f>IFERROR(__xludf.DUMMYFUNCTION("regexreplace(lower(C556), ""_"", """")"),"brainmridate")</f>
        <v>brainmridate</v>
      </c>
      <c r="J556" s="12" t="b">
        <f t="shared" si="36"/>
        <v>1</v>
      </c>
      <c r="K556" s="12" t="str">
        <f>IFERROR(__xludf.DUMMYFUNCTION("regexreplace(G556, ""_"", """")"),"brainmridate")</f>
        <v>brainmridate</v>
      </c>
      <c r="L55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""$1$2"")"),"brain_mri_date")</f>
        <v>brain_mri_date</v>
      </c>
      <c r="N556" s="61" t="s">
        <v>7542</v>
      </c>
      <c r="P556" s="15" t="s">
        <v>1990</v>
      </c>
      <c r="Q556" s="15" t="s">
        <v>1991</v>
      </c>
      <c r="R556" s="88"/>
      <c r="S556" s="88"/>
    </row>
    <row r="557">
      <c r="A557" s="33"/>
      <c r="B557" s="33" t="s">
        <v>1040</v>
      </c>
      <c r="C557" s="12" t="s">
        <v>1992</v>
      </c>
      <c r="D557" s="12" t="s">
        <v>145</v>
      </c>
      <c r="E557" s="15" t="s">
        <v>1121</v>
      </c>
      <c r="F557" s="123">
        <f t="shared" si="1"/>
        <v>2</v>
      </c>
      <c r="G557" s="12" t="s">
        <v>1993</v>
      </c>
      <c r="H557" s="12"/>
      <c r="I557" s="12" t="str">
        <f>IFERROR(__xludf.DUMMYFUNCTION("regexreplace(lower(C557), ""_"", """")"),"brainmritime")</f>
        <v>brainmritime</v>
      </c>
      <c r="J557" s="12" t="b">
        <f t="shared" si="36"/>
        <v>1</v>
      </c>
      <c r="K557" s="12" t="str">
        <f>IFERROR(__xludf.DUMMYFUNCTION("regexreplace(G557, ""_"", """")"),"brainmritime")</f>
        <v>brainmritime</v>
      </c>
      <c r="L55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""$1$2"")"),"brain_mri_time")</f>
        <v>brain_mri_time</v>
      </c>
      <c r="N557" s="15"/>
      <c r="P557" s="15" t="s">
        <v>1994</v>
      </c>
      <c r="Q557" s="15" t="s">
        <v>1995</v>
      </c>
      <c r="R557" s="88"/>
      <c r="S557" s="88"/>
    </row>
    <row r="558">
      <c r="A558" s="33"/>
      <c r="B558" s="33" t="s">
        <v>1040</v>
      </c>
      <c r="C558" s="12" t="s">
        <v>1996</v>
      </c>
      <c r="D558" s="12" t="s">
        <v>1051</v>
      </c>
      <c r="E558" s="15" t="s">
        <v>1124</v>
      </c>
      <c r="F558" s="123">
        <f t="shared" si="1"/>
        <v>2</v>
      </c>
      <c r="G558" s="12" t="s">
        <v>7734</v>
      </c>
      <c r="H558" s="12"/>
      <c r="I558" s="12" t="str">
        <f>IFERROR(__xludf.DUMMYFUNCTION("regexreplace(lower(C558), ""_"", """")"),"brainmriresult1")</f>
        <v>brainmriresult1</v>
      </c>
      <c r="J558" s="12" t="b">
        <f t="shared" si="36"/>
        <v>0</v>
      </c>
      <c r="K558" s="12" t="str">
        <f>IFERROR(__xludf.DUMMYFUNCTION("regexreplace(G558, ""_"", """")"),"brainmriresulta")</f>
        <v>brainmriresulta</v>
      </c>
      <c r="L55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""$1$2"")"),"brain_mri_result1")</f>
        <v>brain_mri_result1</v>
      </c>
      <c r="N558" s="15" t="s">
        <v>7545</v>
      </c>
      <c r="P558" s="15" t="s">
        <v>1998</v>
      </c>
      <c r="Q558" s="15" t="s">
        <v>1999</v>
      </c>
      <c r="R558" s="88"/>
      <c r="S558" s="88"/>
    </row>
    <row r="559">
      <c r="A559" s="33"/>
      <c r="B559" s="33" t="s">
        <v>1040</v>
      </c>
      <c r="C559" s="12" t="s">
        <v>2000</v>
      </c>
      <c r="D559" s="12" t="s">
        <v>1051</v>
      </c>
      <c r="E559" s="15" t="s">
        <v>1127</v>
      </c>
      <c r="F559" s="123">
        <f t="shared" si="1"/>
        <v>2</v>
      </c>
      <c r="G559" s="12" t="s">
        <v>7735</v>
      </c>
      <c r="H559" s="12"/>
      <c r="I559" s="12" t="str">
        <f>IFERROR(__xludf.DUMMYFUNCTION("regexreplace(lower(C559), ""_"", """")"),"brainmriresult2")</f>
        <v>brainmriresult2</v>
      </c>
      <c r="J559" s="12" t="b">
        <f t="shared" si="36"/>
        <v>0</v>
      </c>
      <c r="K559" s="12" t="str">
        <f>IFERROR(__xludf.DUMMYFUNCTION("regexreplace(G559, ""_"", """")"),"brainmriresultb")</f>
        <v>brainmriresultb</v>
      </c>
      <c r="L55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""$1$2"")"),"brain_mri_result2")</f>
        <v>brain_mri_result2</v>
      </c>
      <c r="N559" s="15" t="s">
        <v>7545</v>
      </c>
      <c r="P559" s="15" t="s">
        <v>2002</v>
      </c>
      <c r="Q559" s="15" t="s">
        <v>2003</v>
      </c>
      <c r="R559" s="88"/>
      <c r="S559" s="88"/>
    </row>
    <row r="560">
      <c r="A560" s="33"/>
      <c r="B560" s="33" t="s">
        <v>1040</v>
      </c>
      <c r="C560" s="12" t="s">
        <v>2004</v>
      </c>
      <c r="D560" s="12" t="s">
        <v>1051</v>
      </c>
      <c r="E560" s="15" t="s">
        <v>1130</v>
      </c>
      <c r="F560" s="123">
        <f t="shared" si="1"/>
        <v>2</v>
      </c>
      <c r="G560" s="12" t="s">
        <v>7736</v>
      </c>
      <c r="H560" s="12"/>
      <c r="I560" s="12" t="str">
        <f>IFERROR(__xludf.DUMMYFUNCTION("regexreplace(lower(C560), ""_"", """")"),"brainmriresult3")</f>
        <v>brainmriresult3</v>
      </c>
      <c r="J560" s="12" t="b">
        <f t="shared" si="36"/>
        <v>0</v>
      </c>
      <c r="K560" s="12" t="str">
        <f>IFERROR(__xludf.DUMMYFUNCTION("regexreplace(G560, ""_"", """")"),"brainmriresultc")</f>
        <v>brainmriresultc</v>
      </c>
      <c r="L56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""$1$2"")"),"brain_mri_result3")</f>
        <v>brain_mri_result3</v>
      </c>
      <c r="N560" s="15" t="s">
        <v>7545</v>
      </c>
      <c r="P560" s="15" t="s">
        <v>2006</v>
      </c>
      <c r="Q560" s="15" t="s">
        <v>2007</v>
      </c>
      <c r="R560" s="88"/>
      <c r="S560" s="88"/>
    </row>
    <row r="561">
      <c r="A561" s="33"/>
      <c r="B561" s="33" t="s">
        <v>1040</v>
      </c>
      <c r="C561" s="12" t="s">
        <v>2008</v>
      </c>
      <c r="D561" s="12" t="s">
        <v>1051</v>
      </c>
      <c r="E561" s="15" t="s">
        <v>1133</v>
      </c>
      <c r="F561" s="123">
        <f t="shared" si="1"/>
        <v>2</v>
      </c>
      <c r="G561" s="12" t="s">
        <v>7737</v>
      </c>
      <c r="H561" s="12"/>
      <c r="I561" s="12" t="str">
        <f>IFERROR(__xludf.DUMMYFUNCTION("regexreplace(lower(C561), ""_"", """")"),"brainmriresult4")</f>
        <v>brainmriresult4</v>
      </c>
      <c r="J561" s="12" t="b">
        <f t="shared" si="36"/>
        <v>0</v>
      </c>
      <c r="K561" s="12" t="str">
        <f>IFERROR(__xludf.DUMMYFUNCTION("regexreplace(G561, ""_"", """")"),"brainmriresultd")</f>
        <v>brainmriresultd</v>
      </c>
      <c r="L56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""$1$2"")"),"brain_mri_result4")</f>
        <v>brain_mri_result4</v>
      </c>
      <c r="N561" s="15" t="s">
        <v>7545</v>
      </c>
      <c r="P561" s="15" t="s">
        <v>2010</v>
      </c>
      <c r="Q561" s="15" t="s">
        <v>2011</v>
      </c>
      <c r="R561" s="88"/>
      <c r="S561" s="88"/>
    </row>
    <row r="562">
      <c r="A562" s="33"/>
      <c r="B562" s="33" t="s">
        <v>1040</v>
      </c>
      <c r="C562" s="12" t="s">
        <v>2012</v>
      </c>
      <c r="D562" s="12" t="s">
        <v>1051</v>
      </c>
      <c r="E562" s="15" t="s">
        <v>1136</v>
      </c>
      <c r="F562" s="123">
        <f t="shared" si="1"/>
        <v>2</v>
      </c>
      <c r="G562" s="12" t="s">
        <v>7738</v>
      </c>
      <c r="H562" s="12"/>
      <c r="I562" s="12" t="str">
        <f>IFERROR(__xludf.DUMMYFUNCTION("regexreplace(lower(C562), ""_"", """")"),"brainmriresult5")</f>
        <v>brainmriresult5</v>
      </c>
      <c r="J562" s="12" t="b">
        <f t="shared" si="36"/>
        <v>0</v>
      </c>
      <c r="K562" s="12" t="str">
        <f>IFERROR(__xludf.DUMMYFUNCTION("regexreplace(G562, ""_"", """")"),"brainmriresulte")</f>
        <v>brainmriresulte</v>
      </c>
      <c r="L56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""$1$2"")"),"brain_mri_result5")</f>
        <v>brain_mri_result5</v>
      </c>
      <c r="N562" s="15" t="s">
        <v>7545</v>
      </c>
      <c r="P562" s="15" t="s">
        <v>2014</v>
      </c>
      <c r="Q562" s="15" t="s">
        <v>2015</v>
      </c>
      <c r="R562" s="88"/>
      <c r="S562" s="88"/>
    </row>
    <row r="563">
      <c r="A563" s="33"/>
      <c r="B563" s="33" t="s">
        <v>1040</v>
      </c>
      <c r="C563" s="12" t="s">
        <v>2016</v>
      </c>
      <c r="D563" s="12" t="s">
        <v>1051</v>
      </c>
      <c r="E563" s="15" t="s">
        <v>1139</v>
      </c>
      <c r="F563" s="123">
        <f t="shared" si="1"/>
        <v>2</v>
      </c>
      <c r="G563" s="12" t="s">
        <v>7739</v>
      </c>
      <c r="H563" s="12"/>
      <c r="I563" s="12" t="str">
        <f>IFERROR(__xludf.DUMMYFUNCTION("regexreplace(lower(C563), ""_"", """")"),"brainmriresult6")</f>
        <v>brainmriresult6</v>
      </c>
      <c r="J563" s="12" t="b">
        <f t="shared" si="36"/>
        <v>0</v>
      </c>
      <c r="K563" s="12" t="str">
        <f>IFERROR(__xludf.DUMMYFUNCTION("regexreplace(G563, ""_"", """")"),"brainmriresultf")</f>
        <v>brainmriresultf</v>
      </c>
      <c r="L56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""$1$2"")"),"brain_mri_result6")</f>
        <v>brain_mri_result6</v>
      </c>
      <c r="N563" s="15" t="s">
        <v>7545</v>
      </c>
      <c r="P563" s="15" t="s">
        <v>2018</v>
      </c>
      <c r="Q563" s="15" t="s">
        <v>2019</v>
      </c>
      <c r="R563" s="88"/>
      <c r="S563" s="88"/>
    </row>
    <row r="564">
      <c r="A564" s="33"/>
      <c r="B564" s="33" t="s">
        <v>1040</v>
      </c>
      <c r="C564" s="12" t="s">
        <v>2020</v>
      </c>
      <c r="D564" s="12" t="s">
        <v>1051</v>
      </c>
      <c r="E564" s="15" t="s">
        <v>1142</v>
      </c>
      <c r="F564" s="123">
        <f t="shared" si="1"/>
        <v>2</v>
      </c>
      <c r="G564" s="12" t="s">
        <v>7740</v>
      </c>
      <c r="H564" s="12"/>
      <c r="I564" s="12" t="str">
        <f>IFERROR(__xludf.DUMMYFUNCTION("regexreplace(lower(C564), ""_"", """")"),"brainmriresult7")</f>
        <v>brainmriresult7</v>
      </c>
      <c r="J564" s="12" t="b">
        <f t="shared" si="36"/>
        <v>0</v>
      </c>
      <c r="K564" s="12" t="str">
        <f>IFERROR(__xludf.DUMMYFUNCTION("regexreplace(G564, ""_"", """")"),"brainmriresultg")</f>
        <v>brainmriresultg</v>
      </c>
      <c r="L56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""$1$2"")"),"brain_mri_result7")</f>
        <v>brain_mri_result7</v>
      </c>
      <c r="N564" s="15" t="s">
        <v>7545</v>
      </c>
      <c r="P564" s="15" t="s">
        <v>2022</v>
      </c>
      <c r="Q564" s="15" t="s">
        <v>2023</v>
      </c>
      <c r="R564" s="88"/>
      <c r="S564" s="88"/>
    </row>
    <row r="565">
      <c r="A565" s="33"/>
      <c r="B565" s="33" t="s">
        <v>1040</v>
      </c>
      <c r="C565" s="12" t="s">
        <v>2024</v>
      </c>
      <c r="D565" s="12" t="s">
        <v>1051</v>
      </c>
      <c r="E565" s="15" t="s">
        <v>1145</v>
      </c>
      <c r="F565" s="123">
        <f t="shared" si="1"/>
        <v>2</v>
      </c>
      <c r="G565" s="12" t="s">
        <v>7741</v>
      </c>
      <c r="H565" s="12"/>
      <c r="I565" s="12" t="str">
        <f>IFERROR(__xludf.DUMMYFUNCTION("regexreplace(lower(C565), ""_"", """")"),"brainmriresult8")</f>
        <v>brainmriresult8</v>
      </c>
      <c r="J565" s="12" t="b">
        <f t="shared" si="36"/>
        <v>0</v>
      </c>
      <c r="K565" s="12" t="str">
        <f>IFERROR(__xludf.DUMMYFUNCTION("regexreplace(G565, ""_"", """")"),"brainmriresulth")</f>
        <v>brainmriresulth</v>
      </c>
      <c r="L565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""$1$2"")"),"brain_mri_result8")</f>
        <v>brain_mri_result8</v>
      </c>
      <c r="N565" s="15" t="s">
        <v>7545</v>
      </c>
      <c r="P565" s="15" t="s">
        <v>2026</v>
      </c>
      <c r="Q565" s="15" t="s">
        <v>2027</v>
      </c>
      <c r="R565" s="88"/>
      <c r="S565" s="88"/>
    </row>
    <row r="566">
      <c r="A566" s="33"/>
      <c r="B566" s="33" t="s">
        <v>1040</v>
      </c>
      <c r="C566" s="12" t="s">
        <v>2028</v>
      </c>
      <c r="D566" s="12" t="s">
        <v>16</v>
      </c>
      <c r="E566" s="15" t="s">
        <v>1148</v>
      </c>
      <c r="F566" s="123">
        <f t="shared" si="1"/>
        <v>2</v>
      </c>
      <c r="G566" s="12" t="s">
        <v>2029</v>
      </c>
      <c r="H566" s="12"/>
      <c r="I566" s="12" t="str">
        <f>IFERROR(__xludf.DUMMYFUNCTION("regexreplace(lower(C566), ""_"", """")"),"brainmriresulttext")</f>
        <v>brainmriresulttext</v>
      </c>
      <c r="J566" s="12" t="b">
        <f t="shared" si="36"/>
        <v>1</v>
      </c>
      <c r="K566" s="12" t="str">
        <f>IFERROR(__xludf.DUMMYFUNCTION("regexreplace(G566, ""_"", """")"),"brainmriresulttext")</f>
        <v>brainmriresulttext</v>
      </c>
      <c r="L56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""$1$2"")"),"brain_mri_result_text")</f>
        <v>brain_mri_result_text</v>
      </c>
      <c r="N566" s="15"/>
      <c r="P566" s="15" t="s">
        <v>2030</v>
      </c>
      <c r="Q566" s="15" t="s">
        <v>2031</v>
      </c>
      <c r="R566" s="88"/>
      <c r="S566" s="88"/>
    </row>
    <row r="567">
      <c r="A567" s="33"/>
      <c r="B567" s="33"/>
      <c r="C567" s="12"/>
      <c r="D567" s="12"/>
      <c r="E567" s="15"/>
      <c r="F567" s="123">
        <f t="shared" si="1"/>
        <v>0</v>
      </c>
      <c r="G567" s="12"/>
      <c r="H567" s="12"/>
      <c r="I567" s="12"/>
      <c r="J567" s="12"/>
      <c r="K567" s="12"/>
      <c r="L567" s="12"/>
      <c r="N567" s="15"/>
      <c r="P567" s="15"/>
      <c r="Q567" s="15"/>
      <c r="R567" s="88"/>
      <c r="S567" s="88"/>
    </row>
    <row r="568">
      <c r="A568" s="33" t="s">
        <v>1241</v>
      </c>
      <c r="B568" s="33" t="s">
        <v>7742</v>
      </c>
      <c r="C568" s="61" t="s">
        <v>7743</v>
      </c>
      <c r="D568" s="61" t="s">
        <v>31</v>
      </c>
      <c r="E568" s="15"/>
      <c r="F568" s="123">
        <f t="shared" si="1"/>
        <v>0</v>
      </c>
      <c r="G568" s="12"/>
      <c r="H568" s="12"/>
      <c r="I568" s="12"/>
      <c r="J568" s="12"/>
      <c r="K568" s="12"/>
      <c r="L568" s="12"/>
      <c r="N568" s="15"/>
      <c r="P568" s="15"/>
      <c r="Q568" s="15"/>
      <c r="R568" s="88"/>
      <c r="S568" s="88"/>
    </row>
    <row r="569">
      <c r="A569" s="33"/>
      <c r="B569" s="33"/>
      <c r="C569" s="12" t="s">
        <v>7744</v>
      </c>
      <c r="D569" s="12" t="s">
        <v>483</v>
      </c>
      <c r="E569" s="15"/>
      <c r="F569" s="123">
        <f t="shared" si="1"/>
        <v>1</v>
      </c>
      <c r="G569" s="12"/>
      <c r="H569" s="12"/>
      <c r="I569" s="12"/>
      <c r="J569" s="12"/>
      <c r="K569" s="12"/>
      <c r="L569" s="12"/>
      <c r="N569" s="15"/>
      <c r="O569" s="61" t="s">
        <v>7745</v>
      </c>
      <c r="P569" s="15"/>
      <c r="Q569" s="15"/>
      <c r="R569" s="88"/>
      <c r="S569" s="88"/>
    </row>
    <row r="570">
      <c r="A570" s="33"/>
      <c r="B570" s="33"/>
      <c r="C570" s="12"/>
      <c r="D570" s="12"/>
      <c r="E570" s="15"/>
      <c r="F570" s="123">
        <f t="shared" si="1"/>
        <v>0</v>
      </c>
      <c r="G570" s="12"/>
      <c r="H570" s="12"/>
      <c r="I570" s="12"/>
      <c r="J570" s="12"/>
      <c r="K570" s="12"/>
      <c r="L570" s="12"/>
      <c r="N570" s="15"/>
      <c r="P570" s="15"/>
      <c r="Q570" s="15"/>
      <c r="R570" s="88"/>
      <c r="S570" s="88"/>
    </row>
    <row r="571">
      <c r="A571" s="33"/>
      <c r="B571" s="33"/>
      <c r="C571" s="12"/>
      <c r="D571" s="12"/>
      <c r="E571" s="15"/>
      <c r="F571" s="123">
        <f t="shared" si="1"/>
        <v>0</v>
      </c>
      <c r="G571" s="12"/>
      <c r="H571" s="12"/>
      <c r="I571" s="12"/>
      <c r="J571" s="12"/>
      <c r="K571" s="12"/>
      <c r="L571" s="12"/>
      <c r="N571" s="15"/>
      <c r="P571" s="15"/>
      <c r="Q571" s="15"/>
      <c r="R571" s="88"/>
      <c r="S571" s="88"/>
    </row>
    <row r="572">
      <c r="A572" s="33" t="s">
        <v>1241</v>
      </c>
      <c r="B572" s="298" t="s">
        <v>2032</v>
      </c>
      <c r="C572" s="299" t="s">
        <v>2033</v>
      </c>
      <c r="D572" s="299" t="s">
        <v>31</v>
      </c>
      <c r="E572" s="300" t="s">
        <v>2034</v>
      </c>
      <c r="F572" s="123">
        <f t="shared" si="1"/>
        <v>1</v>
      </c>
      <c r="G572" s="121" t="s">
        <v>2035</v>
      </c>
      <c r="H572" s="12"/>
      <c r="I572" s="192" t="str">
        <f>IFERROR(__xludf.DUMMYFUNCTION("regexreplace(lower(C572), ""_"", """")"),"elevatedtempnumber")</f>
        <v>elevatedtempnumber</v>
      </c>
      <c r="J572" s="192" t="b">
        <f t="shared" ref="J572:J585" si="37">exact(I572, K572)</f>
        <v>1</v>
      </c>
      <c r="K572" s="192" t="str">
        <f>IFERROR(__xludf.DUMMYFUNCTION("regexreplace(G572, ""_"", """")"),"elevatedtempnumber")</f>
        <v>elevatedtempnumber</v>
      </c>
      <c r="L5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""$1$2"")"),"elevated_temp_number")</f>
        <v>elevated_temp_number</v>
      </c>
      <c r="M572" s="301"/>
      <c r="N572" s="300"/>
      <c r="O572" s="301"/>
      <c r="P572" s="300" t="s">
        <v>2036</v>
      </c>
      <c r="Q572" s="300"/>
      <c r="R572" s="302"/>
      <c r="S572" s="302"/>
      <c r="T572" s="301"/>
      <c r="U572" s="301"/>
      <c r="V572" s="301"/>
      <c r="W572" s="301"/>
      <c r="X572" s="301"/>
      <c r="Y572" s="301"/>
      <c r="Z572" s="301"/>
    </row>
    <row r="573">
      <c r="A573" s="33"/>
      <c r="B573" s="298" t="s">
        <v>2032</v>
      </c>
      <c r="C573" s="299" t="s">
        <v>2037</v>
      </c>
      <c r="D573" s="299" t="s">
        <v>31</v>
      </c>
      <c r="E573" s="300" t="s">
        <v>2038</v>
      </c>
      <c r="F573" s="123">
        <f t="shared" si="1"/>
        <v>1</v>
      </c>
      <c r="G573" s="121" t="s">
        <v>2039</v>
      </c>
      <c r="H573" s="12"/>
      <c r="I573" s="192" t="str">
        <f>IFERROR(__xludf.DUMMYFUNCTION("regexreplace(lower(C573), ""_"", """")"),"elevatedtempmin")</f>
        <v>elevatedtempmin</v>
      </c>
      <c r="J573" s="192" t="b">
        <f t="shared" si="37"/>
        <v>1</v>
      </c>
      <c r="K573" s="192" t="str">
        <f>IFERROR(__xludf.DUMMYFUNCTION("regexreplace(G573, ""_"", """")"),"elevatedtempmin")</f>
        <v>elevatedtempmin</v>
      </c>
      <c r="L5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""$1$2"")"),"elevated_temp_min")</f>
        <v>elevated_temp_min</v>
      </c>
      <c r="M573" s="301"/>
      <c r="N573" s="300"/>
      <c r="O573" s="301"/>
      <c r="P573" s="300" t="s">
        <v>2040</v>
      </c>
      <c r="Q573" s="300"/>
      <c r="R573" s="302"/>
      <c r="S573" s="302"/>
      <c r="T573" s="301"/>
      <c r="U573" s="301"/>
      <c r="V573" s="301"/>
      <c r="W573" s="301"/>
      <c r="X573" s="301"/>
      <c r="Y573" s="301"/>
      <c r="Z573" s="301"/>
    </row>
    <row r="574">
      <c r="A574" s="33"/>
      <c r="B574" s="298" t="s">
        <v>2032</v>
      </c>
      <c r="C574" s="299" t="s">
        <v>2041</v>
      </c>
      <c r="D574" s="299" t="s">
        <v>26</v>
      </c>
      <c r="E574" s="300" t="s">
        <v>2042</v>
      </c>
      <c r="F574" s="123">
        <f t="shared" si="1"/>
        <v>1</v>
      </c>
      <c r="G574" s="121" t="s">
        <v>2043</v>
      </c>
      <c r="H574" s="12"/>
      <c r="I574" s="192" t="str">
        <f>IFERROR(__xludf.DUMMYFUNCTION("regexreplace(lower(C574), ""_"", """")"),"elevatedtempdate")</f>
        <v>elevatedtempdate</v>
      </c>
      <c r="J574" s="192" t="b">
        <f t="shared" si="37"/>
        <v>1</v>
      </c>
      <c r="K574" s="192" t="str">
        <f>IFERROR(__xludf.DUMMYFUNCTION("regexreplace(G574, ""_"", """")"),"elevatedtempdate")</f>
        <v>elevatedtempdate</v>
      </c>
      <c r="L5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""$1$2"")"),"elevated_temp_date")</f>
        <v>elevated_temp_date</v>
      </c>
      <c r="M574" s="301"/>
      <c r="N574" s="300"/>
      <c r="O574" s="301"/>
      <c r="P574" s="300" t="s">
        <v>2044</v>
      </c>
      <c r="Q574" s="300"/>
      <c r="R574" s="302"/>
      <c r="S574" s="302"/>
      <c r="T574" s="301"/>
      <c r="U574" s="301"/>
      <c r="V574" s="301"/>
      <c r="W574" s="301"/>
      <c r="X574" s="301"/>
      <c r="Y574" s="301"/>
      <c r="Z574" s="301"/>
    </row>
    <row r="575">
      <c r="A575" s="33"/>
      <c r="B575" s="298" t="s">
        <v>2032</v>
      </c>
      <c r="C575" s="299" t="s">
        <v>2045</v>
      </c>
      <c r="D575" s="299" t="s">
        <v>145</v>
      </c>
      <c r="E575" s="300" t="s">
        <v>2046</v>
      </c>
      <c r="F575" s="123">
        <f t="shared" si="1"/>
        <v>1</v>
      </c>
      <c r="G575" s="121" t="s">
        <v>2047</v>
      </c>
      <c r="H575" s="12"/>
      <c r="I575" s="192" t="str">
        <f>IFERROR(__xludf.DUMMYFUNCTION("regexreplace(lower(C575), ""_"", """")"),"elevatedtemptime")</f>
        <v>elevatedtemptime</v>
      </c>
      <c r="J575" s="192" t="b">
        <f t="shared" si="37"/>
        <v>1</v>
      </c>
      <c r="K575" s="192" t="str">
        <f>IFERROR(__xludf.DUMMYFUNCTION("regexreplace(G575, ""_"", """")"),"elevatedtemptime")</f>
        <v>elevatedtemptime</v>
      </c>
      <c r="L5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""$1$2"")"),"elevated_temp_time")</f>
        <v>elevated_temp_time</v>
      </c>
      <c r="M575" s="301"/>
      <c r="N575" s="300"/>
      <c r="O575" s="301"/>
      <c r="P575" s="300" t="s">
        <v>2048</v>
      </c>
      <c r="Q575" s="300"/>
      <c r="R575" s="302"/>
      <c r="S575" s="302"/>
      <c r="T575" s="301"/>
      <c r="U575" s="301"/>
      <c r="V575" s="301"/>
      <c r="W575" s="301"/>
      <c r="X575" s="301"/>
      <c r="Y575" s="301"/>
      <c r="Z575" s="301"/>
    </row>
    <row r="576">
      <c r="A576" s="33"/>
      <c r="B576" s="298" t="s">
        <v>2032</v>
      </c>
      <c r="C576" s="299" t="s">
        <v>2049</v>
      </c>
      <c r="D576" s="299" t="s">
        <v>483</v>
      </c>
      <c r="E576" s="300" t="s">
        <v>2050</v>
      </c>
      <c r="F576" s="123">
        <f t="shared" si="1"/>
        <v>1</v>
      </c>
      <c r="G576" s="121" t="s">
        <v>7746</v>
      </c>
      <c r="H576" s="12"/>
      <c r="I576" s="192" t="str">
        <f>IFERROR(__xludf.DUMMYFUNCTION("regexreplace(lower(C576), ""_"", """")"),"elevatedtempskintemperaturec")</f>
        <v>elevatedtempskintemperaturec</v>
      </c>
      <c r="J576" s="192" t="b">
        <f t="shared" si="37"/>
        <v>0</v>
      </c>
      <c r="K576" s="192" t="str">
        <f>IFERROR(__xludf.DUMMYFUNCTION("regexreplace(G576, ""_"", """")"),"elevatedtempskintemperature")</f>
        <v>elevatedtempskintemperature</v>
      </c>
      <c r="L5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""$1$2"")"),"elevated_temp_skin_temperature__c")</f>
        <v>elevated_temp_skin_temperature__c</v>
      </c>
      <c r="M576" s="301"/>
      <c r="N576" s="300"/>
      <c r="O576" s="301"/>
      <c r="P576" s="300" t="s">
        <v>2052</v>
      </c>
      <c r="Q576" s="300"/>
      <c r="R576" s="302"/>
      <c r="S576" s="302"/>
      <c r="T576" s="301"/>
      <c r="U576" s="301"/>
      <c r="V576" s="301"/>
      <c r="W576" s="301"/>
      <c r="X576" s="301"/>
      <c r="Y576" s="301"/>
      <c r="Z576" s="301"/>
    </row>
    <row r="577">
      <c r="A577" s="33"/>
      <c r="B577" s="298" t="s">
        <v>2032</v>
      </c>
      <c r="C577" s="299" t="s">
        <v>2053</v>
      </c>
      <c r="D577" s="299" t="s">
        <v>483</v>
      </c>
      <c r="E577" s="300" t="s">
        <v>2054</v>
      </c>
      <c r="F577" s="123">
        <f t="shared" si="1"/>
        <v>1</v>
      </c>
      <c r="G577" s="121" t="s">
        <v>7747</v>
      </c>
      <c r="H577" s="12"/>
      <c r="I577" s="192" t="str">
        <f>IFERROR(__xludf.DUMMYFUNCTION("regexreplace(lower(C577), ""_"", """")"),"elevatedtempaxillarytemperaturec")</f>
        <v>elevatedtempaxillarytemperaturec</v>
      </c>
      <c r="J577" s="192" t="b">
        <f t="shared" si="37"/>
        <v>0</v>
      </c>
      <c r="K577" s="192" t="str">
        <f>IFERROR(__xludf.DUMMYFUNCTION("regexreplace(G577, ""_"", """")"),"elevatedtempaxillarytemperature")</f>
        <v>elevatedtempaxillarytemperature</v>
      </c>
      <c r="L5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""$1$2"")"),"elevated_temp_axillary_temperature__c")</f>
        <v>elevated_temp_axillary_temperature__c</v>
      </c>
      <c r="M577" s="301"/>
      <c r="N577" s="300"/>
      <c r="O577" s="301"/>
      <c r="P577" s="300" t="s">
        <v>2056</v>
      </c>
      <c r="Q577" s="300"/>
      <c r="R577" s="302"/>
      <c r="S577" s="302"/>
      <c r="T577" s="301"/>
      <c r="U577" s="301"/>
      <c r="V577" s="301"/>
      <c r="W577" s="301"/>
      <c r="X577" s="301"/>
      <c r="Y577" s="301"/>
      <c r="Z577" s="301"/>
    </row>
    <row r="578">
      <c r="A578" s="33"/>
      <c r="B578" s="298" t="s">
        <v>2032</v>
      </c>
      <c r="C578" s="299" t="s">
        <v>2057</v>
      </c>
      <c r="D578" s="299" t="s">
        <v>483</v>
      </c>
      <c r="E578" s="300" t="s">
        <v>2058</v>
      </c>
      <c r="F578" s="123">
        <f t="shared" si="1"/>
        <v>1</v>
      </c>
      <c r="G578" s="121" t="s">
        <v>7748</v>
      </c>
      <c r="H578" s="12"/>
      <c r="I578" s="192" t="str">
        <f>IFERROR(__xludf.DUMMYFUNCTION("regexreplace(lower(C578), ""_"", """")"),"elevatedtempesophagealtemperaturec")</f>
        <v>elevatedtempesophagealtemperaturec</v>
      </c>
      <c r="J578" s="192" t="b">
        <f t="shared" si="37"/>
        <v>0</v>
      </c>
      <c r="K578" s="192" t="str">
        <f>IFERROR(__xludf.DUMMYFUNCTION("regexreplace(G578, ""_"", """")"),"elevatedtempesophagealtemperature")</f>
        <v>elevatedtempesophagealtemperature</v>
      </c>
      <c r="L5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""$1$2"")"),"elevated_temp_esophageal_temperature__c")</f>
        <v>elevated_temp_esophageal_temperature__c</v>
      </c>
      <c r="M578" s="301"/>
      <c r="N578" s="300"/>
      <c r="O578" s="301"/>
      <c r="P578" s="300" t="s">
        <v>2060</v>
      </c>
      <c r="Q578" s="300"/>
      <c r="R578" s="302"/>
      <c r="S578" s="302"/>
      <c r="T578" s="301"/>
      <c r="U578" s="301"/>
      <c r="V578" s="301"/>
      <c r="W578" s="301"/>
      <c r="X578" s="301"/>
      <c r="Y578" s="301"/>
      <c r="Z578" s="301"/>
    </row>
    <row r="579">
      <c r="A579" s="33"/>
      <c r="B579" s="298" t="s">
        <v>2032</v>
      </c>
      <c r="C579" s="299" t="s">
        <v>2061</v>
      </c>
      <c r="D579" s="299" t="s">
        <v>483</v>
      </c>
      <c r="E579" s="300" t="s">
        <v>2062</v>
      </c>
      <c r="F579" s="123">
        <f t="shared" si="1"/>
        <v>1</v>
      </c>
      <c r="G579" s="121" t="s">
        <v>7749</v>
      </c>
      <c r="H579" s="12"/>
      <c r="I579" s="192" t="str">
        <f>IFERROR(__xludf.DUMMYFUNCTION("regexreplace(lower(C579), ""_"", """")"),"elevatedtempservosetc")</f>
        <v>elevatedtempservosetc</v>
      </c>
      <c r="J579" s="192" t="b">
        <f t="shared" si="37"/>
        <v>0</v>
      </c>
      <c r="K579" s="192" t="str">
        <f>IFERROR(__xludf.DUMMYFUNCTION("regexreplace(G579, ""_"", """")"),"elevatedtempservoset")</f>
        <v>elevatedtempservoset</v>
      </c>
      <c r="L5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""$1$2"")"),"elevated_temp_servo_set__c")</f>
        <v>elevated_temp_servo_set__c</v>
      </c>
      <c r="M579" s="301"/>
      <c r="N579" s="300"/>
      <c r="O579" s="301"/>
      <c r="P579" s="300" t="s">
        <v>2064</v>
      </c>
      <c r="Q579" s="300"/>
      <c r="R579" s="302"/>
      <c r="S579" s="302"/>
      <c r="T579" s="301"/>
      <c r="U579" s="301"/>
      <c r="V579" s="301"/>
      <c r="W579" s="301"/>
      <c r="X579" s="301"/>
      <c r="Y579" s="301"/>
      <c r="Z579" s="301"/>
    </row>
    <row r="580">
      <c r="A580" s="33"/>
      <c r="B580" s="298" t="s">
        <v>2032</v>
      </c>
      <c r="C580" s="299" t="s">
        <v>2065</v>
      </c>
      <c r="D580" s="299" t="s">
        <v>2065</v>
      </c>
      <c r="E580" s="300" t="s">
        <v>2066</v>
      </c>
      <c r="F580" s="123">
        <f t="shared" si="1"/>
        <v>1</v>
      </c>
      <c r="G580" s="121" t="s">
        <v>2067</v>
      </c>
      <c r="H580" s="12"/>
      <c r="I580" s="192" t="str">
        <f>IFERROR(__xludf.DUMMYFUNCTION("regexreplace(lower(C580), ""_"", """")"),"elevatedtempdevice")</f>
        <v>elevatedtempdevice</v>
      </c>
      <c r="J580" s="192" t="b">
        <f t="shared" si="37"/>
        <v>1</v>
      </c>
      <c r="K580" s="192" t="str">
        <f>IFERROR(__xludf.DUMMYFUNCTION("regexreplace(G580, ""_"", """")"),"elevatedtempdevice")</f>
        <v>elevatedtempdevice</v>
      </c>
      <c r="L5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""$1$2"")"),"elevated_temp_device")</f>
        <v>elevated_temp_device</v>
      </c>
      <c r="M580" s="301"/>
      <c r="N580" s="300"/>
      <c r="O580" s="301"/>
      <c r="P580" s="300" t="s">
        <v>2068</v>
      </c>
      <c r="Q580" s="300"/>
      <c r="R580" s="302"/>
      <c r="S580" s="302"/>
      <c r="T580" s="301"/>
      <c r="U580" s="301"/>
      <c r="V580" s="301"/>
      <c r="W580" s="301"/>
      <c r="X580" s="301"/>
      <c r="Y580" s="301"/>
      <c r="Z580" s="301"/>
    </row>
    <row r="581">
      <c r="A581" s="33"/>
      <c r="B581" s="298" t="s">
        <v>2032</v>
      </c>
      <c r="C581" s="299" t="s">
        <v>2069</v>
      </c>
      <c r="D581" s="299" t="s">
        <v>2069</v>
      </c>
      <c r="E581" s="300" t="s">
        <v>2070</v>
      </c>
      <c r="F581" s="123">
        <f t="shared" si="1"/>
        <v>1</v>
      </c>
      <c r="G581" s="121" t="s">
        <v>2071</v>
      </c>
      <c r="H581" s="12"/>
      <c r="I581" s="192" t="str">
        <f>IFERROR(__xludf.DUMMYFUNCTION("regexreplace(lower(C581), ""_"", """")"),"elevatedtempdevicemode")</f>
        <v>elevatedtempdevicemode</v>
      </c>
      <c r="J581" s="192" t="b">
        <f t="shared" si="37"/>
        <v>1</v>
      </c>
      <c r="K581" s="192" t="str">
        <f>IFERROR(__xludf.DUMMYFUNCTION("regexreplace(G581, ""_"", """")"),"elevatedtempdevicemode")</f>
        <v>elevatedtempdevicemode</v>
      </c>
      <c r="L5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""$1$2"")"),"elevated_temp_device_mode")</f>
        <v>elevated_temp_device_mode</v>
      </c>
      <c r="M581" s="301"/>
      <c r="N581" s="300"/>
      <c r="O581" s="301"/>
      <c r="P581" s="300" t="s">
        <v>2072</v>
      </c>
      <c r="Q581" s="300"/>
      <c r="R581" s="302"/>
      <c r="S581" s="302"/>
      <c r="T581" s="301"/>
      <c r="U581" s="301"/>
      <c r="V581" s="301"/>
      <c r="W581" s="301"/>
      <c r="X581" s="301"/>
      <c r="Y581" s="301"/>
      <c r="Z581" s="301"/>
    </row>
    <row r="582">
      <c r="A582" s="33"/>
      <c r="B582" s="298" t="s">
        <v>2032</v>
      </c>
      <c r="C582" s="299" t="s">
        <v>2073</v>
      </c>
      <c r="D582" s="299" t="s">
        <v>483</v>
      </c>
      <c r="E582" s="300" t="s">
        <v>2074</v>
      </c>
      <c r="F582" s="123">
        <f t="shared" si="1"/>
        <v>1</v>
      </c>
      <c r="G582" s="121" t="s">
        <v>7750</v>
      </c>
      <c r="H582" s="12"/>
      <c r="I582" s="192" t="str">
        <f>IFERROR(__xludf.DUMMYFUNCTION("regexreplace(lower(C582), ""_"", """")"),"elevatedtempairtemperaturec")</f>
        <v>elevatedtempairtemperaturec</v>
      </c>
      <c r="J582" s="192" t="b">
        <f t="shared" si="37"/>
        <v>0</v>
      </c>
      <c r="K582" s="192" t="str">
        <f>IFERROR(__xludf.DUMMYFUNCTION("regexreplace(G582, ""_"", """")"),"elevatedtempairtemperature")</f>
        <v>elevatedtempairtemperature</v>
      </c>
      <c r="L5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""$1$2"")"),"elevated_temp_air_temperature__c")</f>
        <v>elevated_temp_air_temperature__c</v>
      </c>
      <c r="M582" s="301"/>
      <c r="N582" s="300"/>
      <c r="O582" s="301"/>
      <c r="P582" s="300" t="s">
        <v>2076</v>
      </c>
      <c r="Q582" s="300"/>
      <c r="R582" s="302"/>
      <c r="S582" s="302"/>
      <c r="T582" s="301"/>
      <c r="U582" s="301"/>
      <c r="V582" s="301"/>
      <c r="W582" s="301"/>
      <c r="X582" s="301"/>
      <c r="Y582" s="301"/>
      <c r="Z582" s="301"/>
    </row>
    <row r="583">
      <c r="A583" s="33"/>
      <c r="B583" s="298" t="s">
        <v>2032</v>
      </c>
      <c r="C583" s="299" t="s">
        <v>2077</v>
      </c>
      <c r="D583" s="299" t="s">
        <v>40</v>
      </c>
      <c r="E583" s="300" t="s">
        <v>2078</v>
      </c>
      <c r="F583" s="123">
        <f t="shared" si="1"/>
        <v>1</v>
      </c>
      <c r="G583" s="121" t="s">
        <v>2079</v>
      </c>
      <c r="H583" s="12"/>
      <c r="I583" s="192" t="str">
        <f>IFERROR(__xludf.DUMMYFUNCTION("regexreplace(lower(C583), ""_"", """")"),"elevatedtempbath")</f>
        <v>elevatedtempbath</v>
      </c>
      <c r="J583" s="192" t="b">
        <f t="shared" si="37"/>
        <v>1</v>
      </c>
      <c r="K583" s="192" t="str">
        <f>IFERROR(__xludf.DUMMYFUNCTION("regexreplace(G583, ""_"", """")"),"elevatedtempbath")</f>
        <v>elevatedtempbath</v>
      </c>
      <c r="L5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""$1$2"")"),"elevated_temp_bath")</f>
        <v>elevated_temp_bath</v>
      </c>
      <c r="M583" s="301"/>
      <c r="N583" s="300"/>
      <c r="O583" s="301"/>
      <c r="P583" s="300" t="s">
        <v>2080</v>
      </c>
      <c r="Q583" s="300"/>
      <c r="R583" s="302"/>
      <c r="S583" s="302"/>
      <c r="T583" s="301"/>
      <c r="U583" s="301"/>
      <c r="V583" s="301"/>
      <c r="W583" s="301"/>
      <c r="X583" s="301"/>
      <c r="Y583" s="301"/>
      <c r="Z583" s="301"/>
    </row>
    <row r="584">
      <c r="A584" s="33"/>
      <c r="B584" s="298" t="s">
        <v>2032</v>
      </c>
      <c r="C584" s="299" t="s">
        <v>2081</v>
      </c>
      <c r="D584" s="299" t="s">
        <v>2081</v>
      </c>
      <c r="E584" s="300" t="s">
        <v>2082</v>
      </c>
      <c r="F584" s="123">
        <f t="shared" si="1"/>
        <v>1</v>
      </c>
      <c r="G584" s="121" t="s">
        <v>2083</v>
      </c>
      <c r="H584" s="12"/>
      <c r="I584" s="192" t="str">
        <f>IFERROR(__xludf.DUMMYFUNCTION("regexreplace(lower(C584), ""_"", """")"),"elevatedtempnobathreason")</f>
        <v>elevatedtempnobathreason</v>
      </c>
      <c r="J584" s="192" t="b">
        <f t="shared" si="37"/>
        <v>1</v>
      </c>
      <c r="K584" s="192" t="str">
        <f>IFERROR(__xludf.DUMMYFUNCTION("regexreplace(G584, ""_"", """")"),"elevatedtempnobathreason")</f>
        <v>elevatedtempnobathreason</v>
      </c>
      <c r="L5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""$1$2"")"),"elevated_temp_no_bath_reason")</f>
        <v>elevated_temp_no_bath_reason</v>
      </c>
      <c r="M584" s="301"/>
      <c r="N584" s="300"/>
      <c r="O584" s="301"/>
      <c r="P584" s="300" t="s">
        <v>2084</v>
      </c>
      <c r="Q584" s="300"/>
      <c r="R584" s="302"/>
      <c r="S584" s="302"/>
      <c r="T584" s="301"/>
      <c r="U584" s="301"/>
      <c r="V584" s="301"/>
      <c r="W584" s="301"/>
      <c r="X584" s="301"/>
      <c r="Y584" s="301"/>
      <c r="Z584" s="301"/>
    </row>
    <row r="585">
      <c r="A585" s="33"/>
      <c r="B585" s="298" t="s">
        <v>2032</v>
      </c>
      <c r="C585" s="299" t="s">
        <v>2085</v>
      </c>
      <c r="D585" s="299" t="s">
        <v>40</v>
      </c>
      <c r="E585" s="300" t="s">
        <v>2086</v>
      </c>
      <c r="F585" s="123">
        <f t="shared" si="1"/>
        <v>1</v>
      </c>
      <c r="G585" s="121" t="s">
        <v>2087</v>
      </c>
      <c r="H585" s="12"/>
      <c r="I585" s="192" t="str">
        <f>IFERROR(__xludf.DUMMYFUNCTION("regexreplace(lower(C585), ""_"", """")"),"elevatedtempblanketrol")</f>
        <v>elevatedtempblanketrol</v>
      </c>
      <c r="J585" s="192" t="b">
        <f t="shared" si="37"/>
        <v>1</v>
      </c>
      <c r="K585" s="192" t="str">
        <f>IFERROR(__xludf.DUMMYFUNCTION("regexreplace(G585, ""_"", """")"),"elevatedtempblanketrol")</f>
        <v>elevatedtempblanketrol</v>
      </c>
      <c r="L5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""$1$2"")"),"elevated_temp_blanketrol")</f>
        <v>elevated_temp_blanketrol</v>
      </c>
      <c r="M585" s="301"/>
      <c r="N585" s="300"/>
      <c r="O585" s="301"/>
      <c r="P585" s="300" t="s">
        <v>2088</v>
      </c>
      <c r="Q585" s="300"/>
      <c r="R585" s="302"/>
      <c r="S585" s="302"/>
      <c r="T585" s="301"/>
      <c r="U585" s="301"/>
      <c r="V585" s="301"/>
      <c r="W585" s="301"/>
      <c r="X585" s="301"/>
      <c r="Y585" s="301"/>
      <c r="Z585" s="301"/>
    </row>
    <row r="586">
      <c r="A586" s="33"/>
      <c r="B586" s="33"/>
      <c r="C586" s="12"/>
      <c r="D586" s="12"/>
      <c r="E586" s="15"/>
      <c r="F586" s="123">
        <f t="shared" si="1"/>
        <v>0</v>
      </c>
      <c r="G586" s="12"/>
      <c r="H586" s="12"/>
      <c r="I586" s="12"/>
      <c r="J586" s="12"/>
      <c r="K586" s="12"/>
      <c r="L586" s="12"/>
      <c r="N586" s="15"/>
      <c r="P586" s="15"/>
      <c r="Q586" s="15"/>
      <c r="R586" s="88"/>
      <c r="S586" s="88"/>
    </row>
    <row r="587">
      <c r="A587" s="33" t="s">
        <v>1241</v>
      </c>
      <c r="B587" s="212" t="s">
        <v>2089</v>
      </c>
      <c r="C587" s="213" t="s">
        <v>2090</v>
      </c>
      <c r="D587" s="213" t="s">
        <v>31</v>
      </c>
      <c r="E587" s="214" t="s">
        <v>2034</v>
      </c>
      <c r="F587" s="123">
        <f t="shared" si="1"/>
        <v>1</v>
      </c>
      <c r="G587" s="121" t="s">
        <v>2091</v>
      </c>
      <c r="H587" s="12"/>
      <c r="I587" s="192" t="str">
        <f>IFERROR(__xludf.DUMMYFUNCTION("regexreplace(lower(C587), ""_"", """")"),"fluctuatetempnumber")</f>
        <v>fluctuatetempnumber</v>
      </c>
      <c r="J587" s="192" t="b">
        <f t="shared" ref="J587:J595" si="38">exact(I587, K587)</f>
        <v>1</v>
      </c>
      <c r="K587" s="192" t="str">
        <f>IFERROR(__xludf.DUMMYFUNCTION("regexreplace(G587, ""_"", """")"),"fluctuatetempnumber")</f>
        <v>fluctuatetempnumber</v>
      </c>
      <c r="L5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""$1$2"")"),"fluctuate_temp_number")</f>
        <v>fluctuate_temp_number</v>
      </c>
      <c r="M587" s="216"/>
      <c r="N587" s="214"/>
      <c r="O587" s="216"/>
      <c r="P587" s="214" t="s">
        <v>2092</v>
      </c>
      <c r="Q587" s="214"/>
      <c r="R587" s="219"/>
      <c r="S587" s="219"/>
      <c r="T587" s="216"/>
      <c r="U587" s="216"/>
      <c r="V587" s="216"/>
      <c r="W587" s="216"/>
      <c r="X587" s="216"/>
      <c r="Y587" s="216"/>
      <c r="Z587" s="216"/>
    </row>
    <row r="588">
      <c r="A588" s="33"/>
      <c r="B588" s="212" t="s">
        <v>2089</v>
      </c>
      <c r="C588" s="213" t="s">
        <v>2093</v>
      </c>
      <c r="D588" s="213" t="s">
        <v>31</v>
      </c>
      <c r="E588" s="215" t="s">
        <v>2038</v>
      </c>
      <c r="F588" s="123">
        <f t="shared" si="1"/>
        <v>1</v>
      </c>
      <c r="G588" s="121" t="s">
        <v>2094</v>
      </c>
      <c r="H588" s="12"/>
      <c r="I588" s="192" t="str">
        <f>IFERROR(__xludf.DUMMYFUNCTION("regexreplace(lower(C588), ""_"", """")"),"fluctuatetempmin")</f>
        <v>fluctuatetempmin</v>
      </c>
      <c r="J588" s="192" t="b">
        <f t="shared" si="38"/>
        <v>1</v>
      </c>
      <c r="K588" s="192" t="str">
        <f>IFERROR(__xludf.DUMMYFUNCTION("regexreplace(G588, ""_"", """")"),"fluctuatetempmin")</f>
        <v>fluctuatetempmin</v>
      </c>
      <c r="L5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""$1$2"")"),"fluctuate_temp_min")</f>
        <v>fluctuate_temp_min</v>
      </c>
      <c r="M588" s="216"/>
      <c r="N588" s="214"/>
      <c r="O588" s="216"/>
      <c r="P588" s="214" t="s">
        <v>2095</v>
      </c>
      <c r="Q588" s="214"/>
      <c r="R588" s="219"/>
      <c r="S588" s="219"/>
      <c r="T588" s="216"/>
      <c r="U588" s="216"/>
      <c r="V588" s="216"/>
      <c r="W588" s="216"/>
      <c r="X588" s="216"/>
      <c r="Y588" s="216"/>
      <c r="Z588" s="216"/>
    </row>
    <row r="589">
      <c r="A589" s="33"/>
      <c r="B589" s="212" t="s">
        <v>2089</v>
      </c>
      <c r="C589" s="213" t="s">
        <v>2096</v>
      </c>
      <c r="D589" s="213" t="s">
        <v>26</v>
      </c>
      <c r="E589" s="214" t="s">
        <v>26</v>
      </c>
      <c r="F589" s="123">
        <f t="shared" si="1"/>
        <v>1</v>
      </c>
      <c r="G589" s="121" t="s">
        <v>2097</v>
      </c>
      <c r="H589" s="12"/>
      <c r="I589" s="192" t="str">
        <f>IFERROR(__xludf.DUMMYFUNCTION("regexreplace(lower(C589), ""_"", """")"),"fluctuatetempdate")</f>
        <v>fluctuatetempdate</v>
      </c>
      <c r="J589" s="192" t="b">
        <f t="shared" si="38"/>
        <v>1</v>
      </c>
      <c r="K589" s="192" t="str">
        <f>IFERROR(__xludf.DUMMYFUNCTION("regexreplace(G589, ""_"", """")"),"fluctuatetempdate")</f>
        <v>fluctuatetempdate</v>
      </c>
      <c r="L5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""$1$2"")"),"fluctuate_temp_date")</f>
        <v>fluctuate_temp_date</v>
      </c>
      <c r="M589" s="216"/>
      <c r="N589" s="214"/>
      <c r="O589" s="216"/>
      <c r="P589" s="214" t="s">
        <v>2098</v>
      </c>
      <c r="Q589" s="214"/>
      <c r="R589" s="219"/>
      <c r="S589" s="219"/>
      <c r="T589" s="216"/>
      <c r="U589" s="216"/>
      <c r="V589" s="216"/>
      <c r="W589" s="216"/>
      <c r="X589" s="216"/>
      <c r="Y589" s="216"/>
      <c r="Z589" s="216"/>
    </row>
    <row r="590">
      <c r="A590" s="33"/>
      <c r="B590" s="212" t="s">
        <v>2089</v>
      </c>
      <c r="C590" s="213" t="s">
        <v>2099</v>
      </c>
      <c r="D590" s="213" t="s">
        <v>145</v>
      </c>
      <c r="E590" s="214" t="s">
        <v>145</v>
      </c>
      <c r="F590" s="123">
        <f t="shared" si="1"/>
        <v>1</v>
      </c>
      <c r="G590" s="121" t="s">
        <v>2100</v>
      </c>
      <c r="H590" s="12"/>
      <c r="I590" s="192" t="str">
        <f>IFERROR(__xludf.DUMMYFUNCTION("regexreplace(lower(C590), ""_"", """")"),"fluctuatetemptime")</f>
        <v>fluctuatetemptime</v>
      </c>
      <c r="J590" s="192" t="b">
        <f t="shared" si="38"/>
        <v>1</v>
      </c>
      <c r="K590" s="192" t="str">
        <f>IFERROR(__xludf.DUMMYFUNCTION("regexreplace(G590, ""_"", """")"),"fluctuatetemptime")</f>
        <v>fluctuatetemptime</v>
      </c>
      <c r="L5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""$1$2"")"),"fluctuate_temp_time")</f>
        <v>fluctuate_temp_time</v>
      </c>
      <c r="M590" s="216"/>
      <c r="N590" s="214"/>
      <c r="O590" s="216"/>
      <c r="P590" s="214" t="s">
        <v>2101</v>
      </c>
      <c r="Q590" s="214"/>
      <c r="R590" s="219"/>
      <c r="S590" s="219"/>
      <c r="T590" s="216"/>
      <c r="U590" s="216"/>
      <c r="V590" s="216"/>
      <c r="W590" s="216"/>
      <c r="X590" s="216"/>
      <c r="Y590" s="216"/>
      <c r="Z590" s="216"/>
    </row>
    <row r="591">
      <c r="A591" s="33"/>
      <c r="B591" s="212" t="s">
        <v>2089</v>
      </c>
      <c r="C591" s="213" t="s">
        <v>2102</v>
      </c>
      <c r="D591" s="213" t="s">
        <v>483</v>
      </c>
      <c r="E591" s="214" t="s">
        <v>2103</v>
      </c>
      <c r="F591" s="123">
        <f t="shared" si="1"/>
        <v>1</v>
      </c>
      <c r="G591" s="121" t="s">
        <v>7751</v>
      </c>
      <c r="H591" s="12"/>
      <c r="I591" s="192" t="str">
        <f>IFERROR(__xludf.DUMMYFUNCTION("regexreplace(lower(C591), ""_"", """")"),"fluctuatetempskintemperaturec")</f>
        <v>fluctuatetempskintemperaturec</v>
      </c>
      <c r="J591" s="192" t="b">
        <f t="shared" si="38"/>
        <v>0</v>
      </c>
      <c r="K591" s="192" t="str">
        <f>IFERROR(__xludf.DUMMYFUNCTION("regexreplace(G591, ""_"", """")"),"fluctuatetempskintemperature")</f>
        <v>fluctuatetempskintemperature</v>
      </c>
      <c r="L5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""$1$2"")"),"fluctuate_temp_skin_temperature__c")</f>
        <v>fluctuate_temp_skin_temperature__c</v>
      </c>
      <c r="M591" s="216"/>
      <c r="N591" s="214"/>
      <c r="O591" s="216"/>
      <c r="P591" s="214" t="s">
        <v>2105</v>
      </c>
      <c r="Q591" s="214"/>
      <c r="R591" s="219"/>
      <c r="S591" s="219"/>
      <c r="T591" s="216"/>
      <c r="U591" s="216"/>
      <c r="V591" s="216"/>
      <c r="W591" s="216"/>
      <c r="X591" s="216"/>
      <c r="Y591" s="216"/>
      <c r="Z591" s="216"/>
    </row>
    <row r="592">
      <c r="A592" s="33"/>
      <c r="B592" s="212" t="s">
        <v>2089</v>
      </c>
      <c r="C592" s="213" t="s">
        <v>2106</v>
      </c>
      <c r="D592" s="213" t="s">
        <v>483</v>
      </c>
      <c r="E592" s="214" t="s">
        <v>2107</v>
      </c>
      <c r="F592" s="123">
        <f t="shared" si="1"/>
        <v>1</v>
      </c>
      <c r="G592" s="121" t="s">
        <v>7752</v>
      </c>
      <c r="H592" s="12"/>
      <c r="I592" s="192" t="str">
        <f>IFERROR(__xludf.DUMMYFUNCTION("regexreplace(lower(C592), ""_"", """")"),"fluctuatetempaxillarytemperaturec")</f>
        <v>fluctuatetempaxillarytemperaturec</v>
      </c>
      <c r="J592" s="192" t="b">
        <f t="shared" si="38"/>
        <v>0</v>
      </c>
      <c r="K592" s="192" t="str">
        <f>IFERROR(__xludf.DUMMYFUNCTION("regexreplace(G592, ""_"", """")"),"fluctuatetempaxillarytemperature")</f>
        <v>fluctuatetempaxillarytemperature</v>
      </c>
      <c r="L5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""$1$2"")"),"fluctuate_temp_axillary_temperature__c")</f>
        <v>fluctuate_temp_axillary_temperature__c</v>
      </c>
      <c r="M592" s="216"/>
      <c r="N592" s="214"/>
      <c r="O592" s="216"/>
      <c r="P592" s="214" t="s">
        <v>2109</v>
      </c>
      <c r="Q592" s="214"/>
      <c r="R592" s="219"/>
      <c r="S592" s="219"/>
      <c r="T592" s="216"/>
      <c r="U592" s="216"/>
      <c r="V592" s="216"/>
      <c r="W592" s="216"/>
      <c r="X592" s="216"/>
      <c r="Y592" s="216"/>
      <c r="Z592" s="216"/>
    </row>
    <row r="593">
      <c r="A593" s="33"/>
      <c r="B593" s="212" t="s">
        <v>2089</v>
      </c>
      <c r="C593" s="213" t="s">
        <v>2110</v>
      </c>
      <c r="D593" s="213" t="s">
        <v>483</v>
      </c>
      <c r="E593" s="214" t="s">
        <v>2111</v>
      </c>
      <c r="F593" s="123">
        <f t="shared" si="1"/>
        <v>1</v>
      </c>
      <c r="G593" s="121" t="s">
        <v>7753</v>
      </c>
      <c r="H593" s="12"/>
      <c r="I593" s="192" t="str">
        <f>IFERROR(__xludf.DUMMYFUNCTION("regexreplace(lower(C593), ""_"", """")"),"fluctuatetempesophagealtemperaturec")</f>
        <v>fluctuatetempesophagealtemperaturec</v>
      </c>
      <c r="J593" s="192" t="b">
        <f t="shared" si="38"/>
        <v>0</v>
      </c>
      <c r="K593" s="192" t="str">
        <f>IFERROR(__xludf.DUMMYFUNCTION("regexreplace(G593, ""_"", """")"),"fluctuatetempesophagealtemperature")</f>
        <v>fluctuatetempesophagealtemperature</v>
      </c>
      <c r="L5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""$1$2"")"),"fluctuate_temp_esophageal_temperature__c")</f>
        <v>fluctuate_temp_esophageal_temperature__c</v>
      </c>
      <c r="M593" s="216"/>
      <c r="N593" s="214"/>
      <c r="O593" s="216"/>
      <c r="P593" s="214" t="s">
        <v>2113</v>
      </c>
      <c r="Q593" s="214"/>
      <c r="R593" s="219"/>
      <c r="S593" s="219"/>
      <c r="T593" s="216"/>
      <c r="U593" s="216"/>
      <c r="V593" s="216"/>
      <c r="W593" s="216"/>
      <c r="X593" s="216"/>
      <c r="Y593" s="216"/>
      <c r="Z593" s="216"/>
    </row>
    <row r="594">
      <c r="A594" s="33"/>
      <c r="B594" s="212" t="s">
        <v>2089</v>
      </c>
      <c r="C594" s="213" t="s">
        <v>2114</v>
      </c>
      <c r="D594" s="213" t="s">
        <v>483</v>
      </c>
      <c r="E594" s="214" t="s">
        <v>2115</v>
      </c>
      <c r="F594" s="123">
        <f t="shared" si="1"/>
        <v>1</v>
      </c>
      <c r="G594" s="121" t="s">
        <v>7754</v>
      </c>
      <c r="H594" s="12"/>
      <c r="I594" s="192" t="str">
        <f>IFERROR(__xludf.DUMMYFUNCTION("regexreplace(lower(C594), ""_"", """")"),"fluctuatetempblanketrolc")</f>
        <v>fluctuatetempblanketrolc</v>
      </c>
      <c r="J594" s="192" t="b">
        <f t="shared" si="38"/>
        <v>0</v>
      </c>
      <c r="K594" s="192" t="str">
        <f>IFERROR(__xludf.DUMMYFUNCTION("regexreplace(G594, ""_"", """")"),"fluctuatetempblanketrol")</f>
        <v>fluctuatetempblanketrol</v>
      </c>
      <c r="L5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""$1$2"")"),"fluctuate_temp_blanketrol__c")</f>
        <v>fluctuate_temp_blanketrol__c</v>
      </c>
      <c r="M594" s="216"/>
      <c r="N594" s="214"/>
      <c r="O594" s="216"/>
      <c r="P594" s="214" t="s">
        <v>2117</v>
      </c>
      <c r="Q594" s="214"/>
      <c r="R594" s="219"/>
      <c r="S594" s="219"/>
      <c r="T594" s="216"/>
      <c r="U594" s="216"/>
      <c r="V594" s="216"/>
      <c r="W594" s="216"/>
      <c r="X594" s="216"/>
      <c r="Y594" s="216"/>
      <c r="Z594" s="216"/>
    </row>
    <row r="595">
      <c r="A595" s="33"/>
      <c r="B595" s="212" t="s">
        <v>2089</v>
      </c>
      <c r="C595" s="213" t="s">
        <v>2118</v>
      </c>
      <c r="D595" s="213" t="s">
        <v>483</v>
      </c>
      <c r="E595" s="215" t="s">
        <v>2062</v>
      </c>
      <c r="F595" s="123">
        <f t="shared" si="1"/>
        <v>1</v>
      </c>
      <c r="G595" s="121" t="s">
        <v>7755</v>
      </c>
      <c r="H595" s="12"/>
      <c r="I595" s="192" t="str">
        <f>IFERROR(__xludf.DUMMYFUNCTION("regexreplace(lower(C595), ""_"", """")"),"fluctuatetempservosetc")</f>
        <v>fluctuatetempservosetc</v>
      </c>
      <c r="J595" s="192" t="b">
        <f t="shared" si="38"/>
        <v>0</v>
      </c>
      <c r="K595" s="192" t="str">
        <f>IFERROR(__xludf.DUMMYFUNCTION("regexreplace(G595, ""_"", """")"),"fluctuatetempservoset")</f>
        <v>fluctuatetempservoset</v>
      </c>
      <c r="L5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""$1$2"")"),"fluctuate_temp_servo_set__c")</f>
        <v>fluctuate_temp_servo_set__c</v>
      </c>
      <c r="M595" s="216"/>
      <c r="N595" s="303"/>
      <c r="O595" s="216"/>
      <c r="P595" s="303" t="s">
        <v>2120</v>
      </c>
      <c r="Q595" s="214"/>
      <c r="R595" s="219"/>
      <c r="S595" s="219"/>
      <c r="T595" s="216"/>
      <c r="U595" s="216"/>
      <c r="V595" s="216"/>
      <c r="W595" s="216"/>
      <c r="X595" s="216"/>
      <c r="Y595" s="216"/>
      <c r="Z595" s="216"/>
    </row>
    <row r="596">
      <c r="A596" s="33"/>
      <c r="B596" s="61"/>
      <c r="C596" s="12"/>
      <c r="D596" s="12"/>
      <c r="E596" s="15"/>
      <c r="F596" s="123">
        <f t="shared" si="1"/>
        <v>0</v>
      </c>
      <c r="G596" s="12"/>
      <c r="H596" s="12"/>
      <c r="I596" s="12"/>
      <c r="J596" s="12"/>
      <c r="K596" s="12"/>
      <c r="L596" s="12"/>
      <c r="N596" s="40"/>
      <c r="P596" s="40"/>
      <c r="Q596" s="15"/>
      <c r="R596" s="88"/>
      <c r="S596" s="88"/>
    </row>
    <row r="597">
      <c r="A597" s="33" t="s">
        <v>1241</v>
      </c>
      <c r="B597" s="304" t="s">
        <v>2121</v>
      </c>
      <c r="C597" s="192" t="s">
        <v>2122</v>
      </c>
      <c r="D597" s="192" t="s">
        <v>31</v>
      </c>
      <c r="E597" s="305" t="s">
        <v>2123</v>
      </c>
      <c r="F597" s="123">
        <f t="shared" si="1"/>
        <v>1</v>
      </c>
      <c r="G597" s="121" t="s">
        <v>2124</v>
      </c>
      <c r="H597" s="12"/>
      <c r="I597" s="192" t="str">
        <f>IFERROR(__xludf.DUMMYFUNCTION("regexreplace(lower(C597), ""_"", """")"),"bradycardiaeventnumber")</f>
        <v>bradycardiaeventnumber</v>
      </c>
      <c r="J597" s="192" t="b">
        <f t="shared" ref="J597:J606" si="39">exact(I597, K597)</f>
        <v>1</v>
      </c>
      <c r="K597" s="192" t="str">
        <f>IFERROR(__xludf.DUMMYFUNCTION("regexreplace(G597, ""_"", """")"),"bradycardiaeventnumber")</f>
        <v>bradycardiaeventnumber</v>
      </c>
      <c r="L5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""$1$2"")"),"bradycardia_event_number")</f>
        <v>bradycardia_event_number</v>
      </c>
      <c r="M597" s="306"/>
      <c r="N597" s="307"/>
      <c r="O597" s="306"/>
      <c r="P597" s="307"/>
      <c r="Q597" s="305" t="s">
        <v>2125</v>
      </c>
      <c r="R597" s="308"/>
      <c r="S597" s="308"/>
      <c r="T597" s="306"/>
      <c r="U597" s="306"/>
      <c r="V597" s="306"/>
      <c r="W597" s="306"/>
      <c r="X597" s="306"/>
      <c r="Y597" s="306"/>
      <c r="Z597" s="306"/>
    </row>
    <row r="598">
      <c r="A598" s="33"/>
      <c r="B598" s="304" t="s">
        <v>2121</v>
      </c>
      <c r="C598" s="192" t="s">
        <v>2126</v>
      </c>
      <c r="D598" s="192" t="s">
        <v>40</v>
      </c>
      <c r="E598" s="305" t="s">
        <v>2127</v>
      </c>
      <c r="F598" s="123">
        <f t="shared" si="1"/>
        <v>1</v>
      </c>
      <c r="G598" s="121" t="s">
        <v>2128</v>
      </c>
      <c r="H598" s="12"/>
      <c r="I598" s="192" t="str">
        <f>IFERROR(__xludf.DUMMYFUNCTION("regexreplace(lower(C598), ""_"", """")"),"bradycardiabelow70over15min")</f>
        <v>bradycardiabelow70over15min</v>
      </c>
      <c r="J598" s="192" t="b">
        <f t="shared" si="39"/>
        <v>1</v>
      </c>
      <c r="K598" s="192" t="str">
        <f>IFERROR(__xludf.DUMMYFUNCTION("regexreplace(G598, ""_"", """")"),"bradycardiabelow70over15min")</f>
        <v>bradycardiabelow70over15min</v>
      </c>
      <c r="L5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""$1$2"")"),"bradycardia_below70over15min")</f>
        <v>bradycardia_below70over15min</v>
      </c>
      <c r="M598" s="306"/>
      <c r="N598" s="307"/>
      <c r="O598" s="306"/>
      <c r="P598" s="307"/>
      <c r="Q598" s="305" t="s">
        <v>2129</v>
      </c>
      <c r="R598" s="308"/>
      <c r="S598" s="308"/>
      <c r="T598" s="306"/>
      <c r="U598" s="306"/>
      <c r="V598" s="306"/>
      <c r="W598" s="306"/>
      <c r="X598" s="306"/>
      <c r="Y598" s="306"/>
      <c r="Z598" s="306"/>
    </row>
    <row r="599">
      <c r="A599" s="33"/>
      <c r="B599" s="304" t="s">
        <v>2121</v>
      </c>
      <c r="C599" s="192" t="s">
        <v>2130</v>
      </c>
      <c r="D599" s="192" t="s">
        <v>40</v>
      </c>
      <c r="E599" s="305" t="s">
        <v>2131</v>
      </c>
      <c r="F599" s="123">
        <f t="shared" si="1"/>
        <v>1</v>
      </c>
      <c r="G599" s="121" t="s">
        <v>2132</v>
      </c>
      <c r="H599" s="12"/>
      <c r="I599" s="192" t="str">
        <f>IFERROR(__xludf.DUMMYFUNCTION("regexreplace(lower(C599), ""_"", """")"),"bradycardiaekg")</f>
        <v>bradycardiaekg</v>
      </c>
      <c r="J599" s="192" t="b">
        <f t="shared" si="39"/>
        <v>1</v>
      </c>
      <c r="K599" s="192" t="str">
        <f>IFERROR(__xludf.DUMMYFUNCTION("regexreplace(G599, ""_"", """")"),"bradycardiaekg")</f>
        <v>bradycardiaekg</v>
      </c>
      <c r="L5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599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""$1$2"")"),"bradycardia_ekg")</f>
        <v>bradycardia_ekg</v>
      </c>
      <c r="M599" s="306"/>
      <c r="N599" s="307"/>
      <c r="O599" s="306"/>
      <c r="P599" s="307"/>
      <c r="Q599" s="305" t="s">
        <v>2133</v>
      </c>
      <c r="R599" s="308"/>
      <c r="S599" s="308"/>
      <c r="T599" s="306"/>
      <c r="U599" s="306"/>
      <c r="V599" s="306"/>
      <c r="W599" s="306"/>
      <c r="X599" s="306"/>
      <c r="Y599" s="306"/>
      <c r="Z599" s="306"/>
    </row>
    <row r="600">
      <c r="A600" s="33"/>
      <c r="B600" s="304" t="s">
        <v>2121</v>
      </c>
      <c r="C600" s="192" t="s">
        <v>2134</v>
      </c>
      <c r="D600" s="192" t="s">
        <v>2134</v>
      </c>
      <c r="E600" s="305" t="s">
        <v>2135</v>
      </c>
      <c r="F600" s="123">
        <f t="shared" si="1"/>
        <v>1</v>
      </c>
      <c r="G600" s="121" t="s">
        <v>2136</v>
      </c>
      <c r="H600" s="12"/>
      <c r="I600" s="192" t="str">
        <f>IFERROR(__xludf.DUMMYFUNCTION("regexreplace(lower(C600), ""_"", """")"),"bradycardiaekgresult")</f>
        <v>bradycardiaekgresult</v>
      </c>
      <c r="J600" s="192" t="b">
        <f t="shared" si="39"/>
        <v>1</v>
      </c>
      <c r="K600" s="192" t="str">
        <f>IFERROR(__xludf.DUMMYFUNCTION("regexreplace(G600, ""_"", """")"),"bradycardiaekgresult")</f>
        <v>bradycardiaekgresult</v>
      </c>
      <c r="L6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""$1$2"")"),"bradycardia_ekg_result")</f>
        <v>bradycardia_ekg_result</v>
      </c>
      <c r="M600" s="306"/>
      <c r="N600" s="307"/>
      <c r="O600" s="306"/>
      <c r="P600" s="307"/>
      <c r="Q600" s="305" t="s">
        <v>2137</v>
      </c>
      <c r="R600" s="308"/>
      <c r="S600" s="308"/>
      <c r="T600" s="306"/>
      <c r="U600" s="306"/>
      <c r="V600" s="306"/>
      <c r="W600" s="306"/>
      <c r="X600" s="306"/>
      <c r="Y600" s="306"/>
      <c r="Z600" s="306"/>
    </row>
    <row r="601">
      <c r="A601" s="33"/>
      <c r="B601" s="304" t="s">
        <v>2121</v>
      </c>
      <c r="C601" s="192" t="s">
        <v>2138</v>
      </c>
      <c r="D601" s="192" t="s">
        <v>16</v>
      </c>
      <c r="E601" s="305" t="s">
        <v>2139</v>
      </c>
      <c r="F601" s="123">
        <f t="shared" si="1"/>
        <v>1</v>
      </c>
      <c r="G601" s="121" t="s">
        <v>2140</v>
      </c>
      <c r="H601" s="12"/>
      <c r="I601" s="192" t="str">
        <f>IFERROR(__xludf.DUMMYFUNCTION("regexreplace(lower(C601), ""_"", """")"),"bradycardiaekgresultothertext")</f>
        <v>bradycardiaekgresultothertext</v>
      </c>
      <c r="J601" s="192" t="b">
        <f t="shared" si="39"/>
        <v>1</v>
      </c>
      <c r="K601" s="192" t="str">
        <f>IFERROR(__xludf.DUMMYFUNCTION("regexreplace(G601, ""_"", """")"),"bradycardiaekgresultothertext")</f>
        <v>bradycardiaekgresultothertext</v>
      </c>
      <c r="L6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""$1$2"")"),"bradycardia_ekg_result_other_text")</f>
        <v>bradycardia_ekg_result_other_text</v>
      </c>
      <c r="M601" s="306"/>
      <c r="N601" s="307"/>
      <c r="O601" s="306"/>
      <c r="P601" s="307"/>
      <c r="Q601" s="305" t="s">
        <v>2141</v>
      </c>
      <c r="R601" s="308"/>
      <c r="S601" s="308"/>
      <c r="T601" s="306"/>
      <c r="U601" s="306"/>
      <c r="V601" s="306"/>
      <c r="W601" s="306"/>
      <c r="X601" s="306"/>
      <c r="Y601" s="306"/>
      <c r="Z601" s="306"/>
    </row>
    <row r="602">
      <c r="A602" s="33"/>
      <c r="B602" s="304" t="s">
        <v>2121</v>
      </c>
      <c r="C602" s="192" t="s">
        <v>2142</v>
      </c>
      <c r="D602" s="192" t="s">
        <v>40</v>
      </c>
      <c r="E602" s="305" t="s">
        <v>2143</v>
      </c>
      <c r="F602" s="123">
        <f t="shared" si="1"/>
        <v>1</v>
      </c>
      <c r="G602" s="121" t="s">
        <v>2144</v>
      </c>
      <c r="H602" s="12"/>
      <c r="I602" s="192" t="str">
        <f>IFERROR(__xludf.DUMMYFUNCTION("regexreplace(lower(C602), ""_"", """")"),"bradycardiaantiarrhythmiamedication")</f>
        <v>bradycardiaantiarrhythmiamedication</v>
      </c>
      <c r="J602" s="192" t="b">
        <f t="shared" si="39"/>
        <v>1</v>
      </c>
      <c r="K602" s="192" t="str">
        <f>IFERROR(__xludf.DUMMYFUNCTION("regexreplace(G602, ""_"", """")"),"bradycardiaantiarrhythmiamedication")</f>
        <v>bradycardiaantiarrhythmiamedication</v>
      </c>
      <c r="L6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""$1$2"")"),"bradycardia_antiarrhythmia_medication")</f>
        <v>bradycardia_antiarrhythmia_medication</v>
      </c>
      <c r="M602" s="306"/>
      <c r="N602" s="307"/>
      <c r="O602" s="306"/>
      <c r="P602" s="307"/>
      <c r="Q602" s="305" t="s">
        <v>2145</v>
      </c>
      <c r="R602" s="308"/>
      <c r="S602" s="308"/>
      <c r="T602" s="306"/>
      <c r="U602" s="306"/>
      <c r="V602" s="306"/>
      <c r="W602" s="306"/>
      <c r="X602" s="306"/>
      <c r="Y602" s="306"/>
      <c r="Z602" s="306"/>
    </row>
    <row r="603">
      <c r="A603" s="33"/>
      <c r="B603" s="304" t="s">
        <v>2121</v>
      </c>
      <c r="C603" s="192" t="s">
        <v>2146</v>
      </c>
      <c r="D603" s="192" t="s">
        <v>26</v>
      </c>
      <c r="E603" s="305" t="s">
        <v>2147</v>
      </c>
      <c r="F603" s="123">
        <f t="shared" si="1"/>
        <v>1</v>
      </c>
      <c r="G603" s="121" t="s">
        <v>2148</v>
      </c>
      <c r="H603" s="12"/>
      <c r="I603" s="192" t="str">
        <f>IFERROR(__xludf.DUMMYFUNCTION("regexreplace(lower(C603), ""_"", """")"),"bradycardiadate")</f>
        <v>bradycardiadate</v>
      </c>
      <c r="J603" s="192" t="b">
        <f t="shared" si="39"/>
        <v>1</v>
      </c>
      <c r="K603" s="192" t="str">
        <f>IFERROR(__xludf.DUMMYFUNCTION("regexreplace(G603, ""_"", """")"),"bradycardiadate")</f>
        <v>bradycardiadate</v>
      </c>
      <c r="L6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""$1$2"")"),"bradycardia_date")</f>
        <v>bradycardia_date</v>
      </c>
      <c r="M603" s="306"/>
      <c r="N603" s="307"/>
      <c r="O603" s="306"/>
      <c r="P603" s="307"/>
      <c r="Q603" s="305" t="s">
        <v>2149</v>
      </c>
      <c r="R603" s="308"/>
      <c r="S603" s="308"/>
      <c r="T603" s="306"/>
      <c r="U603" s="306"/>
      <c r="V603" s="306"/>
      <c r="W603" s="306"/>
      <c r="X603" s="306"/>
      <c r="Y603" s="306"/>
      <c r="Z603" s="306"/>
    </row>
    <row r="604">
      <c r="A604" s="33"/>
      <c r="B604" s="304" t="s">
        <v>2121</v>
      </c>
      <c r="C604" s="192" t="s">
        <v>2150</v>
      </c>
      <c r="D604" s="192" t="s">
        <v>145</v>
      </c>
      <c r="E604" s="305" t="s">
        <v>2151</v>
      </c>
      <c r="F604" s="123">
        <f t="shared" si="1"/>
        <v>1</v>
      </c>
      <c r="G604" s="121" t="s">
        <v>2152</v>
      </c>
      <c r="H604" s="12"/>
      <c r="I604" s="192" t="str">
        <f>IFERROR(__xludf.DUMMYFUNCTION("regexreplace(lower(C604), ""_"", """")"),"bradycardiatime")</f>
        <v>bradycardiatime</v>
      </c>
      <c r="J604" s="192" t="b">
        <f t="shared" si="39"/>
        <v>1</v>
      </c>
      <c r="K604" s="192" t="str">
        <f>IFERROR(__xludf.DUMMYFUNCTION("regexreplace(G604, ""_"", """")"),"bradycardiatime")</f>
        <v>bradycardiatime</v>
      </c>
      <c r="L6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""$1$2"")"),"bradycardia_time")</f>
        <v>bradycardia_time</v>
      </c>
      <c r="M604" s="306"/>
      <c r="N604" s="307"/>
      <c r="O604" s="306"/>
      <c r="P604" s="307"/>
      <c r="Q604" s="305" t="s">
        <v>2153</v>
      </c>
      <c r="R604" s="308"/>
      <c r="S604" s="308"/>
      <c r="T604" s="306"/>
      <c r="U604" s="306"/>
      <c r="V604" s="306"/>
      <c r="W604" s="306"/>
      <c r="X604" s="306"/>
      <c r="Y604" s="306"/>
      <c r="Z604" s="306"/>
    </row>
    <row r="605">
      <c r="A605" s="33"/>
      <c r="B605" s="304" t="s">
        <v>2121</v>
      </c>
      <c r="C605" s="192" t="s">
        <v>2154</v>
      </c>
      <c r="D605" s="192" t="s">
        <v>2154</v>
      </c>
      <c r="E605" s="305" t="s">
        <v>2155</v>
      </c>
      <c r="F605" s="123">
        <f t="shared" si="1"/>
        <v>1</v>
      </c>
      <c r="G605" s="121" t="s">
        <v>2156</v>
      </c>
      <c r="H605" s="12"/>
      <c r="I605" s="192" t="str">
        <f>IFERROR(__xludf.DUMMYFUNCTION("regexreplace(lower(C605), ""_"", """")"),"bradycardiaduration")</f>
        <v>bradycardiaduration</v>
      </c>
      <c r="J605" s="192" t="b">
        <f t="shared" si="39"/>
        <v>1</v>
      </c>
      <c r="K605" s="192" t="str">
        <f>IFERROR(__xludf.DUMMYFUNCTION("regexreplace(G605, ""_"", """")"),"bradycardiaduration")</f>
        <v>bradycardiaduration</v>
      </c>
      <c r="L6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""$1$2"")"),"bradycardia_duration")</f>
        <v>bradycardia_duration</v>
      </c>
      <c r="M605" s="306"/>
      <c r="N605" s="307"/>
      <c r="O605" s="306"/>
      <c r="P605" s="307"/>
      <c r="Q605" s="305" t="s">
        <v>2157</v>
      </c>
      <c r="R605" s="308"/>
      <c r="S605" s="308"/>
      <c r="T605" s="306"/>
      <c r="U605" s="306"/>
      <c r="V605" s="306"/>
      <c r="W605" s="306"/>
      <c r="X605" s="306"/>
      <c r="Y605" s="306"/>
      <c r="Z605" s="306"/>
    </row>
    <row r="606">
      <c r="A606" s="33"/>
      <c r="B606" s="304" t="s">
        <v>2121</v>
      </c>
      <c r="C606" s="192" t="s">
        <v>2158</v>
      </c>
      <c r="D606" s="192" t="s">
        <v>2158</v>
      </c>
      <c r="E606" s="305" t="s">
        <v>2159</v>
      </c>
      <c r="F606" s="123">
        <f t="shared" si="1"/>
        <v>1</v>
      </c>
      <c r="G606" s="121" t="s">
        <v>2160</v>
      </c>
      <c r="H606" s="12"/>
      <c r="I606" s="192" t="str">
        <f>IFERROR(__xludf.DUMMYFUNCTION("regexreplace(lower(C606), ""_"", """")"),"bradycardiaheartratemin")</f>
        <v>bradycardiaheartratemin</v>
      </c>
      <c r="J606" s="192" t="b">
        <f t="shared" si="39"/>
        <v>1</v>
      </c>
      <c r="K606" s="192" t="str">
        <f>IFERROR(__xludf.DUMMYFUNCTION("regexreplace(G606, ""_"", """")"),"bradycardiaheartratemin")</f>
        <v>bradycardiaheartratemin</v>
      </c>
      <c r="L6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""$1$2"")"),"bradycardia_heart_rate_min")</f>
        <v>bradycardia_heart_rate_min</v>
      </c>
      <c r="M606" s="306"/>
      <c r="N606" s="307"/>
      <c r="O606" s="306"/>
      <c r="P606" s="307"/>
      <c r="Q606" s="305" t="s">
        <v>2161</v>
      </c>
      <c r="R606" s="308"/>
      <c r="S606" s="308"/>
      <c r="T606" s="306"/>
      <c r="U606" s="306"/>
      <c r="V606" s="306"/>
      <c r="W606" s="306"/>
      <c r="X606" s="306"/>
      <c r="Y606" s="306"/>
      <c r="Z606" s="306"/>
    </row>
    <row r="607">
      <c r="A607" s="33"/>
      <c r="B607" s="33"/>
      <c r="C607" s="12"/>
      <c r="D607" s="12"/>
      <c r="E607" s="15"/>
      <c r="F607" s="123">
        <f t="shared" si="1"/>
        <v>0</v>
      </c>
      <c r="G607" s="12"/>
      <c r="H607" s="12"/>
      <c r="I607" s="12"/>
      <c r="J607" s="12"/>
      <c r="K607" s="12"/>
      <c r="L607" s="12"/>
      <c r="N607" s="15"/>
      <c r="P607" s="15"/>
      <c r="Q607" s="15"/>
      <c r="R607" s="88"/>
      <c r="S607" s="88"/>
    </row>
    <row r="608">
      <c r="A608" s="33" t="s">
        <v>1241</v>
      </c>
      <c r="B608" s="298" t="s">
        <v>2162</v>
      </c>
      <c r="C608" s="299" t="s">
        <v>2163</v>
      </c>
      <c r="D608" s="299" t="s">
        <v>31</v>
      </c>
      <c r="E608" s="300" t="s">
        <v>2164</v>
      </c>
      <c r="F608" s="123">
        <f t="shared" si="1"/>
        <v>2</v>
      </c>
      <c r="G608" s="121" t="s">
        <v>2165</v>
      </c>
      <c r="H608" s="12"/>
      <c r="I608" s="192" t="str">
        <f>IFERROR(__xludf.DUMMYFUNCTION("regexreplace(lower(C608), ""_"", """")"),"adverseeventnumber")</f>
        <v>adverseeventnumber</v>
      </c>
      <c r="J608" s="192" t="b">
        <f>exact(I608, K608)</f>
        <v>1</v>
      </c>
      <c r="K608" s="192" t="str">
        <f>IFERROR(__xludf.DUMMYFUNCTION("regexreplace(G608, ""_"", """")"),"adverseeventnumber")</f>
        <v>adverseeventnumber</v>
      </c>
      <c r="L6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""$1$2"")"),"adverse_event_number")</f>
        <v>adverse_event_number</v>
      </c>
      <c r="M608" s="301"/>
      <c r="N608" s="300"/>
      <c r="O608" s="301"/>
      <c r="P608" s="300" t="s">
        <v>2166</v>
      </c>
      <c r="Q608" s="300" t="s">
        <v>2167</v>
      </c>
      <c r="R608" s="302"/>
      <c r="S608" s="302"/>
      <c r="T608" s="301"/>
      <c r="U608" s="301"/>
      <c r="V608" s="301"/>
      <c r="W608" s="301"/>
      <c r="X608" s="301"/>
      <c r="Y608" s="301"/>
      <c r="Z608" s="301"/>
    </row>
    <row r="609">
      <c r="A609" s="33"/>
      <c r="B609" s="298"/>
      <c r="C609" s="299" t="s">
        <v>7756</v>
      </c>
      <c r="D609" s="299" t="s">
        <v>40</v>
      </c>
      <c r="E609" s="300"/>
      <c r="F609" s="123">
        <f t="shared" si="1"/>
        <v>1</v>
      </c>
      <c r="G609" s="121"/>
      <c r="H609" s="12"/>
      <c r="I609" s="192"/>
      <c r="J609" s="192"/>
      <c r="K609" s="192"/>
      <c r="L609" s="121"/>
      <c r="M609" s="301"/>
      <c r="N609" s="61"/>
      <c r="O609" s="309" t="s">
        <v>7757</v>
      </c>
      <c r="P609" s="300"/>
      <c r="Q609" s="300"/>
      <c r="R609" s="302"/>
      <c r="S609" s="302"/>
      <c r="T609" s="301"/>
      <c r="U609" s="301"/>
      <c r="V609" s="301"/>
      <c r="W609" s="301"/>
      <c r="X609" s="301"/>
      <c r="Y609" s="301"/>
      <c r="Z609" s="301"/>
    </row>
    <row r="610">
      <c r="A610" s="33"/>
      <c r="B610" s="298"/>
      <c r="C610" s="299" t="s">
        <v>7758</v>
      </c>
      <c r="D610" s="299" t="s">
        <v>26</v>
      </c>
      <c r="E610" s="300"/>
      <c r="F610" s="123">
        <f t="shared" si="1"/>
        <v>1</v>
      </c>
      <c r="G610" s="121"/>
      <c r="H610" s="12"/>
      <c r="I610" s="192"/>
      <c r="J610" s="192"/>
      <c r="K610" s="192"/>
      <c r="L610" s="121"/>
      <c r="M610" s="301"/>
      <c r="N610" s="61"/>
      <c r="O610" s="309" t="s">
        <v>7759</v>
      </c>
      <c r="P610" s="300"/>
      <c r="Q610" s="300"/>
      <c r="R610" s="302"/>
      <c r="S610" s="302"/>
      <c r="T610" s="301"/>
      <c r="U610" s="301"/>
      <c r="V610" s="301"/>
      <c r="W610" s="301"/>
      <c r="X610" s="301"/>
      <c r="Y610" s="301"/>
      <c r="Z610" s="301"/>
    </row>
    <row r="611">
      <c r="A611" s="33"/>
      <c r="B611" s="298"/>
      <c r="C611" s="299" t="s">
        <v>7760</v>
      </c>
      <c r="D611" s="299" t="s">
        <v>40</v>
      </c>
      <c r="E611" s="300"/>
      <c r="F611" s="123">
        <f t="shared" si="1"/>
        <v>1</v>
      </c>
      <c r="G611" s="121"/>
      <c r="H611" s="12"/>
      <c r="I611" s="192"/>
      <c r="J611" s="192"/>
      <c r="K611" s="192"/>
      <c r="L611" s="121"/>
      <c r="M611" s="301"/>
      <c r="N611" s="61"/>
      <c r="O611" s="309" t="s">
        <v>7761</v>
      </c>
      <c r="P611" s="300"/>
      <c r="Q611" s="300"/>
      <c r="R611" s="302"/>
      <c r="S611" s="302"/>
      <c r="T611" s="301"/>
      <c r="U611" s="301"/>
      <c r="V611" s="301"/>
      <c r="W611" s="301"/>
      <c r="X611" s="301"/>
      <c r="Y611" s="301"/>
      <c r="Z611" s="301"/>
    </row>
    <row r="612">
      <c r="A612" s="33"/>
      <c r="B612" s="298"/>
      <c r="C612" s="299" t="s">
        <v>7762</v>
      </c>
      <c r="D612" s="299" t="s">
        <v>40</v>
      </c>
      <c r="E612" s="300"/>
      <c r="F612" s="123">
        <f t="shared" si="1"/>
        <v>1</v>
      </c>
      <c r="G612" s="121"/>
      <c r="H612" s="12"/>
      <c r="I612" s="192"/>
      <c r="J612" s="192"/>
      <c r="K612" s="192"/>
      <c r="L612" s="121"/>
      <c r="M612" s="301"/>
      <c r="N612" s="61"/>
      <c r="O612" s="309" t="s">
        <v>7763</v>
      </c>
      <c r="P612" s="300"/>
      <c r="Q612" s="300"/>
      <c r="R612" s="302"/>
      <c r="S612" s="302"/>
      <c r="T612" s="301"/>
      <c r="U612" s="301"/>
      <c r="V612" s="301"/>
      <c r="W612" s="301"/>
      <c r="X612" s="301"/>
      <c r="Y612" s="301"/>
      <c r="Z612" s="301"/>
    </row>
    <row r="613">
      <c r="A613" s="33"/>
      <c r="B613" s="298"/>
      <c r="C613" s="299" t="s">
        <v>7764</v>
      </c>
      <c r="D613" s="299" t="s">
        <v>26</v>
      </c>
      <c r="E613" s="300"/>
      <c r="F613" s="123">
        <f t="shared" si="1"/>
        <v>1</v>
      </c>
      <c r="G613" s="121"/>
      <c r="H613" s="12"/>
      <c r="I613" s="192"/>
      <c r="J613" s="192"/>
      <c r="K613" s="192"/>
      <c r="L613" s="121"/>
      <c r="M613" s="301"/>
      <c r="N613" s="61"/>
      <c r="O613" s="309" t="s">
        <v>7765</v>
      </c>
      <c r="P613" s="300"/>
      <c r="Q613" s="300"/>
      <c r="R613" s="302"/>
      <c r="S613" s="302"/>
      <c r="T613" s="301"/>
      <c r="U613" s="301"/>
      <c r="V613" s="301"/>
      <c r="W613" s="301"/>
      <c r="X613" s="301"/>
      <c r="Y613" s="301"/>
      <c r="Z613" s="301"/>
    </row>
    <row r="614">
      <c r="A614" s="33"/>
      <c r="B614" s="298"/>
      <c r="C614" s="299" t="s">
        <v>7766</v>
      </c>
      <c r="D614" s="299" t="s">
        <v>40</v>
      </c>
      <c r="E614" s="310"/>
      <c r="F614" s="123">
        <f t="shared" si="1"/>
        <v>1</v>
      </c>
      <c r="G614" s="121"/>
      <c r="H614" s="12"/>
      <c r="I614" s="192"/>
      <c r="J614" s="192"/>
      <c r="K614" s="192"/>
      <c r="L614" s="121"/>
      <c r="M614" s="301"/>
      <c r="N614" s="61"/>
      <c r="O614" s="309" t="s">
        <v>7767</v>
      </c>
      <c r="P614" s="300"/>
      <c r="Q614" s="300"/>
      <c r="R614" s="302"/>
      <c r="S614" s="302"/>
      <c r="T614" s="301"/>
      <c r="U614" s="301"/>
      <c r="V614" s="301"/>
      <c r="W614" s="301"/>
      <c r="X614" s="301"/>
      <c r="Y614" s="301"/>
      <c r="Z614" s="301"/>
    </row>
    <row r="615">
      <c r="A615" s="33"/>
      <c r="B615" s="298" t="s">
        <v>2162</v>
      </c>
      <c r="C615" s="299" t="s">
        <v>7768</v>
      </c>
      <c r="D615" s="299" t="s">
        <v>40</v>
      </c>
      <c r="E615" s="310"/>
      <c r="F615" s="123">
        <f t="shared" si="1"/>
        <v>1</v>
      </c>
      <c r="G615" s="121"/>
      <c r="H615" s="12"/>
      <c r="I615" s="192"/>
      <c r="J615" s="192"/>
      <c r="K615" s="192"/>
      <c r="L615" s="121"/>
      <c r="M615" s="301"/>
      <c r="N615" s="61"/>
      <c r="O615" s="309" t="s">
        <v>7769</v>
      </c>
      <c r="P615" s="300"/>
      <c r="Q615" s="300"/>
      <c r="R615" s="302"/>
      <c r="S615" s="302"/>
      <c r="T615" s="301"/>
      <c r="U615" s="301"/>
      <c r="V615" s="301"/>
      <c r="W615" s="301"/>
      <c r="X615" s="301"/>
      <c r="Y615" s="301"/>
      <c r="Z615" s="301"/>
    </row>
    <row r="616">
      <c r="A616" s="33"/>
      <c r="B616" s="298"/>
      <c r="C616" s="299" t="s">
        <v>7770</v>
      </c>
      <c r="D616" s="299" t="s">
        <v>26</v>
      </c>
      <c r="E616" s="300"/>
      <c r="F616" s="123">
        <f t="shared" si="1"/>
        <v>1</v>
      </c>
      <c r="G616" s="121"/>
      <c r="H616" s="12"/>
      <c r="I616" s="192"/>
      <c r="J616" s="192"/>
      <c r="K616" s="192"/>
      <c r="L616" s="121"/>
      <c r="M616" s="301"/>
      <c r="N616" s="61"/>
      <c r="O616" s="309" t="s">
        <v>7771</v>
      </c>
      <c r="P616" s="300"/>
      <c r="Q616" s="300"/>
      <c r="R616" s="302"/>
      <c r="S616" s="302"/>
      <c r="T616" s="301"/>
      <c r="U616" s="301"/>
      <c r="V616" s="301"/>
      <c r="W616" s="301"/>
      <c r="X616" s="301"/>
      <c r="Y616" s="301"/>
      <c r="Z616" s="301"/>
    </row>
    <row r="617">
      <c r="A617" s="33"/>
      <c r="B617" s="298"/>
      <c r="C617" s="299" t="s">
        <v>7772</v>
      </c>
      <c r="D617" s="299" t="s">
        <v>40</v>
      </c>
      <c r="E617" s="310"/>
      <c r="F617" s="123">
        <f t="shared" si="1"/>
        <v>1</v>
      </c>
      <c r="G617" s="121"/>
      <c r="H617" s="12"/>
      <c r="I617" s="192"/>
      <c r="J617" s="192"/>
      <c r="K617" s="192"/>
      <c r="L617" s="121"/>
      <c r="M617" s="301"/>
      <c r="N617" s="61"/>
      <c r="O617" s="309" t="s">
        <v>7773</v>
      </c>
      <c r="P617" s="300"/>
      <c r="Q617" s="300"/>
      <c r="R617" s="302"/>
      <c r="S617" s="302"/>
      <c r="T617" s="301"/>
      <c r="U617" s="301"/>
      <c r="V617" s="301"/>
      <c r="W617" s="301"/>
      <c r="X617" s="301"/>
      <c r="Y617" s="301"/>
      <c r="Z617" s="301"/>
    </row>
    <row r="618">
      <c r="A618" s="33"/>
      <c r="B618" s="298" t="s">
        <v>2162</v>
      </c>
      <c r="C618" s="299" t="s">
        <v>7774</v>
      </c>
      <c r="D618" s="299" t="s">
        <v>40</v>
      </c>
      <c r="E618" s="310"/>
      <c r="F618" s="123">
        <f t="shared" si="1"/>
        <v>1</v>
      </c>
      <c r="G618" s="121"/>
      <c r="H618" s="12"/>
      <c r="I618" s="192"/>
      <c r="J618" s="192"/>
      <c r="K618" s="192"/>
      <c r="L618" s="121"/>
      <c r="M618" s="301"/>
      <c r="N618" s="61"/>
      <c r="O618" s="309" t="s">
        <v>7775</v>
      </c>
      <c r="P618" s="300"/>
      <c r="Q618" s="300"/>
      <c r="R618" s="302"/>
      <c r="S618" s="302"/>
      <c r="T618" s="301"/>
      <c r="U618" s="301"/>
      <c r="V618" s="301"/>
      <c r="W618" s="301"/>
      <c r="X618" s="301"/>
      <c r="Y618" s="301"/>
      <c r="Z618" s="301"/>
    </row>
    <row r="619">
      <c r="A619" s="33"/>
      <c r="B619" s="298" t="s">
        <v>2162</v>
      </c>
      <c r="C619" s="299" t="s">
        <v>2168</v>
      </c>
      <c r="D619" s="299" t="s">
        <v>26</v>
      </c>
      <c r="E619" s="310" t="s">
        <v>2169</v>
      </c>
      <c r="F619" s="123">
        <f t="shared" si="1"/>
        <v>3</v>
      </c>
      <c r="G619" s="121" t="s">
        <v>2170</v>
      </c>
      <c r="H619" s="12"/>
      <c r="I619" s="192" t="str">
        <f>IFERROR(__xludf.DUMMYFUNCTION("regexreplace(lower(C619), ""_"", """")"),"saecardiacexperienceonsetdate")</f>
        <v>saecardiacexperienceonsetdate</v>
      </c>
      <c r="J619" s="192" t="b">
        <f t="shared" ref="J619:J626" si="40">exact(I619, K619)</f>
        <v>1</v>
      </c>
      <c r="K619" s="192" t="str">
        <f>IFERROR(__xludf.DUMMYFUNCTION("regexreplace(G619, ""_"", """")"),"saecardiacexperienceonsetdate")</f>
        <v>saecardiacexperienceonsetdate</v>
      </c>
      <c r="L6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""$1$2"")"),"sae_cardiac_experience_onset_date")</f>
        <v>sae_cardiac_experience_onset_date</v>
      </c>
      <c r="M619" s="301"/>
      <c r="N619" s="61" t="s">
        <v>7776</v>
      </c>
      <c r="O619" s="309" t="s">
        <v>7777</v>
      </c>
      <c r="P619" s="300" t="s">
        <v>2171</v>
      </c>
      <c r="Q619" s="300" t="s">
        <v>2172</v>
      </c>
      <c r="R619" s="302"/>
      <c r="S619" s="302"/>
      <c r="T619" s="301"/>
      <c r="U619" s="301"/>
      <c r="V619" s="301"/>
      <c r="W619" s="301"/>
      <c r="X619" s="301"/>
      <c r="Y619" s="301"/>
      <c r="Z619" s="301"/>
    </row>
    <row r="620">
      <c r="A620" s="33"/>
      <c r="B620" s="298" t="s">
        <v>2162</v>
      </c>
      <c r="C620" s="299" t="s">
        <v>2173</v>
      </c>
      <c r="D620" s="299" t="s">
        <v>145</v>
      </c>
      <c r="E620" s="310" t="s">
        <v>2174</v>
      </c>
      <c r="F620" s="123">
        <f t="shared" si="1"/>
        <v>2</v>
      </c>
      <c r="G620" s="121" t="s">
        <v>2175</v>
      </c>
      <c r="H620" s="12"/>
      <c r="I620" s="192" t="str">
        <f>IFERROR(__xludf.DUMMYFUNCTION("regexreplace(lower(C620), ""_"", """")"),"saecardiacexperienceonsettime")</f>
        <v>saecardiacexperienceonsettime</v>
      </c>
      <c r="J620" s="192" t="b">
        <f t="shared" si="40"/>
        <v>1</v>
      </c>
      <c r="K620" s="192" t="str">
        <f>IFERROR(__xludf.DUMMYFUNCTION("regexreplace(G620, ""_"", """")"),"saecardiacexperienceonsettime")</f>
        <v>saecardiacexperienceonsettime</v>
      </c>
      <c r="L6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""$1$2"")"),"sae_cardiac_experience_onset_time")</f>
        <v>sae_cardiac_experience_onset_time</v>
      </c>
      <c r="M620" s="301"/>
      <c r="N620" s="300"/>
      <c r="O620" s="301"/>
      <c r="P620" s="300" t="s">
        <v>2176</v>
      </c>
      <c r="Q620" s="300" t="s">
        <v>2177</v>
      </c>
      <c r="R620" s="302"/>
      <c r="S620" s="302"/>
      <c r="T620" s="301"/>
      <c r="U620" s="301"/>
      <c r="V620" s="301"/>
      <c r="W620" s="301"/>
      <c r="X620" s="301"/>
      <c r="Y620" s="301"/>
      <c r="Z620" s="301"/>
    </row>
    <row r="621">
      <c r="A621" s="33"/>
      <c r="B621" s="298" t="s">
        <v>2162</v>
      </c>
      <c r="C621" s="299" t="s">
        <v>2178</v>
      </c>
      <c r="D621" s="299" t="s">
        <v>26</v>
      </c>
      <c r="E621" s="310" t="s">
        <v>2179</v>
      </c>
      <c r="F621" s="123">
        <f t="shared" si="1"/>
        <v>2</v>
      </c>
      <c r="G621" s="121" t="s">
        <v>2180</v>
      </c>
      <c r="H621" s="12"/>
      <c r="I621" s="192" t="str">
        <f>IFERROR(__xludf.DUMMYFUNCTION("regexreplace(lower(C621), ""_"", """")"),"saecardiacexperienceresolvedate")</f>
        <v>saecardiacexperienceresolvedate</v>
      </c>
      <c r="J621" s="192" t="b">
        <f t="shared" si="40"/>
        <v>1</v>
      </c>
      <c r="K621" s="192" t="str">
        <f>IFERROR(__xludf.DUMMYFUNCTION("regexreplace(G621, ""_"", """")"),"saecardiacexperienceresolvedate")</f>
        <v>saecardiacexperienceresolvedate</v>
      </c>
      <c r="L6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""$1$2"")"),"sae_cardiac_experience_resolve_date")</f>
        <v>sae_cardiac_experience_resolve_date</v>
      </c>
      <c r="M621" s="301"/>
      <c r="N621" s="61" t="s">
        <v>7778</v>
      </c>
      <c r="O621" s="301"/>
      <c r="P621" s="300" t="s">
        <v>2181</v>
      </c>
      <c r="Q621" s="300" t="s">
        <v>2182</v>
      </c>
      <c r="R621" s="302"/>
      <c r="S621" s="302"/>
      <c r="T621" s="301"/>
      <c r="U621" s="301"/>
      <c r="V621" s="301"/>
      <c r="W621" s="301"/>
      <c r="X621" s="301"/>
      <c r="Y621" s="301"/>
      <c r="Z621" s="301"/>
    </row>
    <row r="622">
      <c r="A622" s="33"/>
      <c r="B622" s="298" t="s">
        <v>2162</v>
      </c>
      <c r="C622" s="299" t="s">
        <v>2183</v>
      </c>
      <c r="D622" s="299" t="s">
        <v>145</v>
      </c>
      <c r="E622" s="310" t="s">
        <v>2184</v>
      </c>
      <c r="F622" s="123">
        <f t="shared" si="1"/>
        <v>2</v>
      </c>
      <c r="G622" s="121" t="s">
        <v>2185</v>
      </c>
      <c r="H622" s="12"/>
      <c r="I622" s="192" t="str">
        <f>IFERROR(__xludf.DUMMYFUNCTION("regexreplace(lower(C622), ""_"", """")"),"saecardiacexperienceresolvetime")</f>
        <v>saecardiacexperienceresolvetime</v>
      </c>
      <c r="J622" s="192" t="b">
        <f t="shared" si="40"/>
        <v>1</v>
      </c>
      <c r="K622" s="192" t="str">
        <f>IFERROR(__xludf.DUMMYFUNCTION("regexreplace(G622, ""_"", """")"),"saecardiacexperienceresolvetime")</f>
        <v>saecardiacexperienceresolvetime</v>
      </c>
      <c r="L6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""$1$2"")"),"sae_cardiac_experience_resolve_time")</f>
        <v>sae_cardiac_experience_resolve_time</v>
      </c>
      <c r="M622" s="301"/>
      <c r="N622" s="300"/>
      <c r="O622" s="301"/>
      <c r="P622" s="300" t="s">
        <v>2186</v>
      </c>
      <c r="Q622" s="300" t="s">
        <v>2187</v>
      </c>
      <c r="R622" s="302"/>
      <c r="S622" s="302"/>
      <c r="T622" s="301"/>
      <c r="U622" s="301"/>
      <c r="V622" s="301"/>
      <c r="W622" s="301"/>
      <c r="X622" s="301"/>
      <c r="Y622" s="301"/>
      <c r="Z622" s="301"/>
    </row>
    <row r="623">
      <c r="A623" s="33"/>
      <c r="B623" s="298" t="s">
        <v>2162</v>
      </c>
      <c r="C623" s="299" t="s">
        <v>2188</v>
      </c>
      <c r="D623" s="299" t="s">
        <v>2189</v>
      </c>
      <c r="E623" s="300" t="s">
        <v>2190</v>
      </c>
      <c r="F623" s="123">
        <f t="shared" si="1"/>
        <v>2</v>
      </c>
      <c r="G623" s="121" t="s">
        <v>2191</v>
      </c>
      <c r="H623" s="12"/>
      <c r="I623" s="192" t="str">
        <f>IFERROR(__xludf.DUMMYFUNCTION("regexreplace(lower(C623), ""_"", """")"),"saecardiacexperienceduetohypothermia")</f>
        <v>saecardiacexperienceduetohypothermia</v>
      </c>
      <c r="J623" s="192" t="b">
        <f t="shared" si="40"/>
        <v>1</v>
      </c>
      <c r="K623" s="192" t="str">
        <f>IFERROR(__xludf.DUMMYFUNCTION("regexreplace(G623, ""_"", """")"),"saecardiacexperienceduetohypothermia")</f>
        <v>saecardiacexperienceduetohypothermia</v>
      </c>
      <c r="L6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""$1$2"")"),"sae_cardiac_experience_due_to_hypothermia")</f>
        <v>sae_cardiac_experience_due_to_hypothermia</v>
      </c>
      <c r="M623" s="301"/>
      <c r="N623" s="61" t="s">
        <v>7779</v>
      </c>
      <c r="O623" s="301"/>
      <c r="P623" s="300" t="s">
        <v>2192</v>
      </c>
      <c r="Q623" s="300" t="s">
        <v>2193</v>
      </c>
      <c r="R623" s="302"/>
      <c r="S623" s="302"/>
      <c r="T623" s="301"/>
      <c r="U623" s="301"/>
      <c r="V623" s="301"/>
      <c r="W623" s="301"/>
      <c r="X623" s="301"/>
      <c r="Y623" s="301"/>
      <c r="Z623" s="301"/>
    </row>
    <row r="624">
      <c r="A624" s="33"/>
      <c r="B624" s="298" t="s">
        <v>2162</v>
      </c>
      <c r="C624" s="299" t="s">
        <v>2194</v>
      </c>
      <c r="D624" s="299" t="s">
        <v>2195</v>
      </c>
      <c r="E624" s="300" t="s">
        <v>2196</v>
      </c>
      <c r="F624" s="123">
        <f t="shared" si="1"/>
        <v>2</v>
      </c>
      <c r="G624" s="121" t="s">
        <v>2197</v>
      </c>
      <c r="H624" s="12"/>
      <c r="I624" s="192" t="str">
        <f>IFERROR(__xludf.DUMMYFUNCTION("regexreplace(lower(C624), ""_"", """")"),"saecardiacexperienceactiontaken")</f>
        <v>saecardiacexperienceactiontaken</v>
      </c>
      <c r="J624" s="192" t="b">
        <f t="shared" si="40"/>
        <v>1</v>
      </c>
      <c r="K624" s="192" t="str">
        <f>IFERROR(__xludf.DUMMYFUNCTION("regexreplace(G624, ""_"", """")"),"saecardiacexperienceactiontaken")</f>
        <v>saecardiacexperienceactiontaken</v>
      </c>
      <c r="L6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""$1$2"")"),"sae_cardiac_experience_action_taken")</f>
        <v>sae_cardiac_experience_action_taken</v>
      </c>
      <c r="M624" s="301"/>
      <c r="N624" s="61" t="s">
        <v>7780</v>
      </c>
      <c r="O624" s="301"/>
      <c r="P624" s="300" t="s">
        <v>2198</v>
      </c>
      <c r="Q624" s="300" t="s">
        <v>2199</v>
      </c>
      <c r="R624" s="302"/>
      <c r="S624" s="302"/>
      <c r="T624" s="301"/>
      <c r="U624" s="301"/>
      <c r="V624" s="301"/>
      <c r="W624" s="301"/>
      <c r="X624" s="301"/>
      <c r="Y624" s="301"/>
      <c r="Z624" s="301"/>
    </row>
    <row r="625">
      <c r="A625" s="33"/>
      <c r="B625" s="298" t="s">
        <v>2162</v>
      </c>
      <c r="C625" s="299" t="s">
        <v>2200</v>
      </c>
      <c r="D625" s="299" t="s">
        <v>2201</v>
      </c>
      <c r="E625" s="300" t="s">
        <v>2202</v>
      </c>
      <c r="F625" s="123">
        <f t="shared" si="1"/>
        <v>2</v>
      </c>
      <c r="G625" s="121" t="s">
        <v>2203</v>
      </c>
      <c r="H625" s="12"/>
      <c r="I625" s="192" t="str">
        <f>IFERROR(__xludf.DUMMYFUNCTION("regexreplace(lower(C625), ""_"", """")"),"saecardiacexperienceoutcome")</f>
        <v>saecardiacexperienceoutcome</v>
      </c>
      <c r="J625" s="192" t="b">
        <f t="shared" si="40"/>
        <v>1</v>
      </c>
      <c r="K625" s="192" t="str">
        <f>IFERROR(__xludf.DUMMYFUNCTION("regexreplace(G625, ""_"", """")"),"saecardiacexperienceoutcome")</f>
        <v>saecardiacexperienceoutcome</v>
      </c>
      <c r="L6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""$1$2"")"),"sae_cardiac_experience_outcome")</f>
        <v>sae_cardiac_experience_outcome</v>
      </c>
      <c r="M625" s="301"/>
      <c r="N625" s="61" t="s">
        <v>7781</v>
      </c>
      <c r="O625" s="301"/>
      <c r="P625" s="300" t="s">
        <v>2204</v>
      </c>
      <c r="Q625" s="300" t="s">
        <v>2205</v>
      </c>
      <c r="R625" s="302"/>
      <c r="S625" s="302"/>
      <c r="T625" s="301"/>
      <c r="U625" s="301"/>
      <c r="V625" s="301"/>
      <c r="W625" s="301"/>
      <c r="X625" s="301"/>
      <c r="Y625" s="301"/>
      <c r="Z625" s="301"/>
    </row>
    <row r="626">
      <c r="A626" s="33"/>
      <c r="B626" s="298" t="s">
        <v>2162</v>
      </c>
      <c r="C626" s="299" t="s">
        <v>2206</v>
      </c>
      <c r="D626" s="299" t="s">
        <v>16</v>
      </c>
      <c r="E626" s="300" t="s">
        <v>2207</v>
      </c>
      <c r="F626" s="123">
        <f t="shared" si="1"/>
        <v>2</v>
      </c>
      <c r="G626" s="121" t="s">
        <v>2208</v>
      </c>
      <c r="H626" s="12"/>
      <c r="I626" s="192" t="str">
        <f>IFERROR(__xludf.DUMMYFUNCTION("regexreplace(lower(C626), ""_"", """")"),"saecardiacexperiencecomment")</f>
        <v>saecardiacexperiencecomment</v>
      </c>
      <c r="J626" s="192" t="b">
        <f t="shared" si="40"/>
        <v>1</v>
      </c>
      <c r="K626" s="192" t="str">
        <f>IFERROR(__xludf.DUMMYFUNCTION("regexreplace(G626, ""_"", """")"),"saecardiacexperiencecomment")</f>
        <v>saecardiacexperiencecomment</v>
      </c>
      <c r="L6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""$1$2"")"),"sae_cardiac_experience_comment")</f>
        <v>sae_cardiac_experience_comment</v>
      </c>
      <c r="M626" s="301"/>
      <c r="N626" s="61" t="s">
        <v>7782</v>
      </c>
      <c r="O626" s="301"/>
      <c r="P626" s="300" t="s">
        <v>2209</v>
      </c>
      <c r="Q626" s="300" t="s">
        <v>2210</v>
      </c>
      <c r="R626" s="302"/>
      <c r="S626" s="302"/>
      <c r="T626" s="301"/>
      <c r="U626" s="301"/>
      <c r="V626" s="301"/>
      <c r="W626" s="301"/>
      <c r="X626" s="301"/>
      <c r="Y626" s="301"/>
      <c r="Z626" s="301"/>
    </row>
    <row r="627">
      <c r="A627" s="33"/>
      <c r="B627" s="298"/>
      <c r="C627" s="299" t="s">
        <v>7783</v>
      </c>
      <c r="D627" s="299" t="s">
        <v>40</v>
      </c>
      <c r="E627" s="310"/>
      <c r="F627" s="123">
        <f t="shared" si="1"/>
        <v>1</v>
      </c>
      <c r="G627" s="121"/>
      <c r="H627" s="12"/>
      <c r="I627" s="192"/>
      <c r="J627" s="192"/>
      <c r="K627" s="192"/>
      <c r="L627" s="121"/>
      <c r="M627" s="301"/>
      <c r="N627" s="61"/>
      <c r="O627" s="309" t="s">
        <v>7784</v>
      </c>
      <c r="P627" s="300"/>
      <c r="Q627" s="300"/>
      <c r="R627" s="302"/>
      <c r="S627" s="302"/>
      <c r="T627" s="301"/>
      <c r="U627" s="301"/>
      <c r="V627" s="301"/>
      <c r="W627" s="301"/>
      <c r="X627" s="301"/>
      <c r="Y627" s="301"/>
      <c r="Z627" s="301"/>
    </row>
    <row r="628">
      <c r="A628" s="33"/>
      <c r="B628" s="298" t="s">
        <v>2162</v>
      </c>
      <c r="C628" s="299" t="s">
        <v>2211</v>
      </c>
      <c r="D628" s="299" t="s">
        <v>26</v>
      </c>
      <c r="E628" s="310" t="s">
        <v>2212</v>
      </c>
      <c r="F628" s="123">
        <f t="shared" si="1"/>
        <v>2</v>
      </c>
      <c r="G628" s="121" t="s">
        <v>2213</v>
      </c>
      <c r="H628" s="12"/>
      <c r="I628" s="192" t="str">
        <f>IFERROR(__xludf.DUMMYFUNCTION("regexreplace(lower(C628), ""_"", """")"),"saemetabolicacidosisonsetdate")</f>
        <v>saemetabolicacidosisonsetdate</v>
      </c>
      <c r="J628" s="192" t="b">
        <f t="shared" ref="J628:J635" si="41">exact(I628, K628)</f>
        <v>1</v>
      </c>
      <c r="K628" s="192" t="str">
        <f>IFERROR(__xludf.DUMMYFUNCTION("regexreplace(G628, ""_"", """")"),"saemetabolicacidosisonsetdate")</f>
        <v>saemetabolicacidosisonsetdate</v>
      </c>
      <c r="L6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""$1$2"")"),"sae_metabolic_acidosis_onset_date")</f>
        <v>sae_metabolic_acidosis_onset_date</v>
      </c>
      <c r="M628" s="301"/>
      <c r="N628" s="61" t="s">
        <v>7776</v>
      </c>
      <c r="O628" s="301"/>
      <c r="P628" s="300" t="s">
        <v>2214</v>
      </c>
      <c r="Q628" s="300" t="s">
        <v>2215</v>
      </c>
      <c r="R628" s="302"/>
      <c r="S628" s="302"/>
      <c r="T628" s="301"/>
      <c r="U628" s="301"/>
      <c r="V628" s="301"/>
      <c r="W628" s="301"/>
      <c r="X628" s="301"/>
      <c r="Y628" s="301"/>
      <c r="Z628" s="301"/>
    </row>
    <row r="629">
      <c r="A629" s="33"/>
      <c r="B629" s="298" t="s">
        <v>2162</v>
      </c>
      <c r="C629" s="299" t="s">
        <v>2216</v>
      </c>
      <c r="D629" s="299" t="s">
        <v>145</v>
      </c>
      <c r="E629" s="310" t="s">
        <v>2217</v>
      </c>
      <c r="F629" s="123">
        <f t="shared" si="1"/>
        <v>2</v>
      </c>
      <c r="G629" s="121" t="s">
        <v>2218</v>
      </c>
      <c r="H629" s="12"/>
      <c r="I629" s="192" t="str">
        <f>IFERROR(__xludf.DUMMYFUNCTION("regexreplace(lower(C629), ""_"", """")"),"saemetabolicacidosisonsettime")</f>
        <v>saemetabolicacidosisonsettime</v>
      </c>
      <c r="J629" s="192" t="b">
        <f t="shared" si="41"/>
        <v>1</v>
      </c>
      <c r="K629" s="192" t="str">
        <f>IFERROR(__xludf.DUMMYFUNCTION("regexreplace(G629, ""_"", """")"),"saemetabolicacidosisonsettime")</f>
        <v>saemetabolicacidosisonsettime</v>
      </c>
      <c r="L6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""$1$2"")"),"sae_metabolic_acidosis_onset_time")</f>
        <v>sae_metabolic_acidosis_onset_time</v>
      </c>
      <c r="M629" s="301"/>
      <c r="N629" s="300"/>
      <c r="O629" s="301"/>
      <c r="P629" s="300" t="s">
        <v>2219</v>
      </c>
      <c r="Q629" s="300" t="s">
        <v>2220</v>
      </c>
      <c r="R629" s="302"/>
      <c r="S629" s="302"/>
      <c r="T629" s="301"/>
      <c r="U629" s="301"/>
      <c r="V629" s="301"/>
      <c r="W629" s="301"/>
      <c r="X629" s="301"/>
      <c r="Y629" s="301"/>
      <c r="Z629" s="301"/>
    </row>
    <row r="630">
      <c r="A630" s="33"/>
      <c r="B630" s="298" t="s">
        <v>2162</v>
      </c>
      <c r="C630" s="299" t="s">
        <v>2221</v>
      </c>
      <c r="D630" s="299" t="s">
        <v>26</v>
      </c>
      <c r="E630" s="310" t="s">
        <v>2222</v>
      </c>
      <c r="F630" s="123">
        <f t="shared" si="1"/>
        <v>2</v>
      </c>
      <c r="G630" s="121" t="s">
        <v>2223</v>
      </c>
      <c r="H630" s="12"/>
      <c r="I630" s="192" t="str">
        <f>IFERROR(__xludf.DUMMYFUNCTION("regexreplace(lower(C630), ""_"", """")"),"saemetabolicacidosisresolvedate")</f>
        <v>saemetabolicacidosisresolvedate</v>
      </c>
      <c r="J630" s="192" t="b">
        <f t="shared" si="41"/>
        <v>1</v>
      </c>
      <c r="K630" s="192" t="str">
        <f>IFERROR(__xludf.DUMMYFUNCTION("regexreplace(G630, ""_"", """")"),"saemetabolicacidosisresolvedate")</f>
        <v>saemetabolicacidosisresolvedate</v>
      </c>
      <c r="L6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""$1$2"")"),"sae_metabolic_acidosis_resolve_date")</f>
        <v>sae_metabolic_acidosis_resolve_date</v>
      </c>
      <c r="M630" s="301"/>
      <c r="N630" s="61" t="s">
        <v>7778</v>
      </c>
      <c r="O630" s="301"/>
      <c r="P630" s="300" t="s">
        <v>2224</v>
      </c>
      <c r="Q630" s="300" t="s">
        <v>2225</v>
      </c>
      <c r="R630" s="302"/>
      <c r="S630" s="302"/>
      <c r="T630" s="301"/>
      <c r="U630" s="301"/>
      <c r="V630" s="301"/>
      <c r="W630" s="301"/>
      <c r="X630" s="301"/>
      <c r="Y630" s="301"/>
      <c r="Z630" s="301"/>
    </row>
    <row r="631">
      <c r="A631" s="33"/>
      <c r="B631" s="298" t="s">
        <v>2162</v>
      </c>
      <c r="C631" s="299" t="s">
        <v>2226</v>
      </c>
      <c r="D631" s="299" t="s">
        <v>145</v>
      </c>
      <c r="E631" s="310" t="s">
        <v>2227</v>
      </c>
      <c r="F631" s="123">
        <f t="shared" si="1"/>
        <v>2</v>
      </c>
      <c r="G631" s="121" t="s">
        <v>2228</v>
      </c>
      <c r="H631" s="12"/>
      <c r="I631" s="192" t="str">
        <f>IFERROR(__xludf.DUMMYFUNCTION("regexreplace(lower(C631), ""_"", """")"),"saemetabolicacidosisresolvetime")</f>
        <v>saemetabolicacidosisresolvetime</v>
      </c>
      <c r="J631" s="192" t="b">
        <f t="shared" si="41"/>
        <v>1</v>
      </c>
      <c r="K631" s="192" t="str">
        <f>IFERROR(__xludf.DUMMYFUNCTION("regexreplace(G631, ""_"", """")"),"saemetabolicacidosisresolvetime")</f>
        <v>saemetabolicacidosisresolvetime</v>
      </c>
      <c r="L6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""$1$2"")"),"sae_metabolic_acidosis_resolve_time")</f>
        <v>sae_metabolic_acidosis_resolve_time</v>
      </c>
      <c r="M631" s="301"/>
      <c r="N631" s="300"/>
      <c r="O631" s="301"/>
      <c r="P631" s="300" t="s">
        <v>2229</v>
      </c>
      <c r="Q631" s="300" t="s">
        <v>2230</v>
      </c>
      <c r="R631" s="302"/>
      <c r="S631" s="302"/>
      <c r="T631" s="301"/>
      <c r="U631" s="301"/>
      <c r="V631" s="301"/>
      <c r="W631" s="301"/>
      <c r="X631" s="301"/>
      <c r="Y631" s="301"/>
      <c r="Z631" s="301"/>
    </row>
    <row r="632">
      <c r="A632" s="33"/>
      <c r="B632" s="298" t="s">
        <v>2162</v>
      </c>
      <c r="C632" s="299" t="s">
        <v>2231</v>
      </c>
      <c r="D632" s="299" t="s">
        <v>2189</v>
      </c>
      <c r="E632" s="300" t="s">
        <v>2232</v>
      </c>
      <c r="F632" s="123">
        <f t="shared" si="1"/>
        <v>2</v>
      </c>
      <c r="G632" s="121" t="s">
        <v>2233</v>
      </c>
      <c r="H632" s="12"/>
      <c r="I632" s="192" t="str">
        <f>IFERROR(__xludf.DUMMYFUNCTION("regexreplace(lower(C632), ""_"", """")"),"saemetabolicacidosisduetohypothermia")</f>
        <v>saemetabolicacidosisduetohypothermia</v>
      </c>
      <c r="J632" s="192" t="b">
        <f t="shared" si="41"/>
        <v>1</v>
      </c>
      <c r="K632" s="192" t="str">
        <f>IFERROR(__xludf.DUMMYFUNCTION("regexreplace(G632, ""_"", """")"),"saemetabolicacidosisduetohypothermia")</f>
        <v>saemetabolicacidosisduetohypothermia</v>
      </c>
      <c r="L6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""$1$2"")"),"sae_metabolic_acidosis_due_to_hypothermia")</f>
        <v>sae_metabolic_acidosis_due_to_hypothermia</v>
      </c>
      <c r="M632" s="301"/>
      <c r="N632" s="61" t="s">
        <v>7779</v>
      </c>
      <c r="O632" s="301"/>
      <c r="P632" s="300" t="s">
        <v>2234</v>
      </c>
      <c r="Q632" s="300" t="s">
        <v>2235</v>
      </c>
      <c r="R632" s="302"/>
      <c r="S632" s="302"/>
      <c r="T632" s="301"/>
      <c r="U632" s="301"/>
      <c r="V632" s="301"/>
      <c r="W632" s="301"/>
      <c r="X632" s="301"/>
      <c r="Y632" s="301"/>
      <c r="Z632" s="301"/>
    </row>
    <row r="633">
      <c r="A633" s="33"/>
      <c r="B633" s="298" t="s">
        <v>2162</v>
      </c>
      <c r="C633" s="299" t="s">
        <v>2236</v>
      </c>
      <c r="D633" s="299" t="s">
        <v>2195</v>
      </c>
      <c r="E633" s="300" t="s">
        <v>2237</v>
      </c>
      <c r="F633" s="123">
        <f t="shared" si="1"/>
        <v>2</v>
      </c>
      <c r="G633" s="121" t="s">
        <v>2238</v>
      </c>
      <c r="H633" s="12"/>
      <c r="I633" s="192" t="str">
        <f>IFERROR(__xludf.DUMMYFUNCTION("regexreplace(lower(C633), ""_"", """")"),"saemetabolicacidosisactiontaken")</f>
        <v>saemetabolicacidosisactiontaken</v>
      </c>
      <c r="J633" s="192" t="b">
        <f t="shared" si="41"/>
        <v>1</v>
      </c>
      <c r="K633" s="192" t="str">
        <f>IFERROR(__xludf.DUMMYFUNCTION("regexreplace(G633, ""_"", """")"),"saemetabolicacidosisactiontaken")</f>
        <v>saemetabolicacidosisactiontaken</v>
      </c>
      <c r="L6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""$1$2"")"),"sae_metabolic_acidosis_action_taken")</f>
        <v>sae_metabolic_acidosis_action_taken</v>
      </c>
      <c r="M633" s="301"/>
      <c r="N633" s="61" t="s">
        <v>7780</v>
      </c>
      <c r="O633" s="301"/>
      <c r="P633" s="300" t="s">
        <v>2239</v>
      </c>
      <c r="Q633" s="300" t="s">
        <v>2240</v>
      </c>
      <c r="R633" s="302"/>
      <c r="S633" s="302"/>
      <c r="T633" s="301"/>
      <c r="U633" s="301"/>
      <c r="V633" s="301"/>
      <c r="W633" s="301"/>
      <c r="X633" s="301"/>
      <c r="Y633" s="301"/>
      <c r="Z633" s="301"/>
    </row>
    <row r="634">
      <c r="A634" s="33"/>
      <c r="B634" s="298" t="s">
        <v>2162</v>
      </c>
      <c r="C634" s="299" t="s">
        <v>2241</v>
      </c>
      <c r="D634" s="299" t="s">
        <v>2201</v>
      </c>
      <c r="E634" s="300" t="s">
        <v>2242</v>
      </c>
      <c r="F634" s="123">
        <f t="shared" si="1"/>
        <v>2</v>
      </c>
      <c r="G634" s="121" t="s">
        <v>2243</v>
      </c>
      <c r="H634" s="12"/>
      <c r="I634" s="192" t="str">
        <f>IFERROR(__xludf.DUMMYFUNCTION("regexreplace(lower(C634), ""_"", """")"),"saemetabolicacidosisoutcome")</f>
        <v>saemetabolicacidosisoutcome</v>
      </c>
      <c r="J634" s="192" t="b">
        <f t="shared" si="41"/>
        <v>1</v>
      </c>
      <c r="K634" s="192" t="str">
        <f>IFERROR(__xludf.DUMMYFUNCTION("regexreplace(G634, ""_"", """")"),"saemetabolicacidosisoutcome")</f>
        <v>saemetabolicacidosisoutcome</v>
      </c>
      <c r="L6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""$1$2"")"),"sae_metabolic_acidosis_outcome")</f>
        <v>sae_metabolic_acidosis_outcome</v>
      </c>
      <c r="M634" s="301"/>
      <c r="N634" s="61" t="s">
        <v>7781</v>
      </c>
      <c r="O634" s="301"/>
      <c r="P634" s="300" t="s">
        <v>2244</v>
      </c>
      <c r="Q634" s="300" t="s">
        <v>2245</v>
      </c>
      <c r="R634" s="302"/>
      <c r="S634" s="302"/>
      <c r="T634" s="301"/>
      <c r="U634" s="301"/>
      <c r="V634" s="301"/>
      <c r="W634" s="301"/>
      <c r="X634" s="301"/>
      <c r="Y634" s="301"/>
      <c r="Z634" s="301"/>
    </row>
    <row r="635">
      <c r="A635" s="33"/>
      <c r="B635" s="298" t="s">
        <v>2162</v>
      </c>
      <c r="C635" s="299" t="s">
        <v>2246</v>
      </c>
      <c r="D635" s="299" t="s">
        <v>16</v>
      </c>
      <c r="E635" s="300" t="s">
        <v>2247</v>
      </c>
      <c r="F635" s="123">
        <f t="shared" si="1"/>
        <v>2</v>
      </c>
      <c r="G635" s="121" t="s">
        <v>2248</v>
      </c>
      <c r="H635" s="12"/>
      <c r="I635" s="192" t="str">
        <f>IFERROR(__xludf.DUMMYFUNCTION("regexreplace(lower(C635), ""_"", """")"),"saemetabolicacidosiscomment")</f>
        <v>saemetabolicacidosiscomment</v>
      </c>
      <c r="J635" s="192" t="b">
        <f t="shared" si="41"/>
        <v>1</v>
      </c>
      <c r="K635" s="192" t="str">
        <f>IFERROR(__xludf.DUMMYFUNCTION("regexreplace(G635, ""_"", """")"),"saemetabolicacidosiscomment")</f>
        <v>saemetabolicacidosiscomment</v>
      </c>
      <c r="L6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""$1$2"")"),"sae_metabolic_acidosis_comment")</f>
        <v>sae_metabolic_acidosis_comment</v>
      </c>
      <c r="M635" s="301"/>
      <c r="N635" s="61" t="s">
        <v>7782</v>
      </c>
      <c r="O635" s="301"/>
      <c r="P635" s="300" t="s">
        <v>2249</v>
      </c>
      <c r="Q635" s="300" t="s">
        <v>2250</v>
      </c>
      <c r="R635" s="302"/>
      <c r="S635" s="302"/>
      <c r="T635" s="301"/>
      <c r="U635" s="301"/>
      <c r="V635" s="301"/>
      <c r="W635" s="301"/>
      <c r="X635" s="301"/>
      <c r="Y635" s="301"/>
      <c r="Z635" s="301"/>
    </row>
    <row r="636">
      <c r="A636" s="33"/>
      <c r="B636" s="298"/>
      <c r="C636" s="299" t="s">
        <v>7785</v>
      </c>
      <c r="D636" s="299" t="s">
        <v>40</v>
      </c>
      <c r="E636" s="300"/>
      <c r="F636" s="123">
        <f t="shared" si="1"/>
        <v>1</v>
      </c>
      <c r="G636" s="121"/>
      <c r="H636" s="12"/>
      <c r="I636" s="192"/>
      <c r="J636" s="192"/>
      <c r="K636" s="192"/>
      <c r="L636" s="121"/>
      <c r="M636" s="301"/>
      <c r="N636" s="61"/>
      <c r="O636" s="309" t="s">
        <v>7786</v>
      </c>
      <c r="P636" s="300"/>
      <c r="Q636" s="300"/>
      <c r="R636" s="302"/>
      <c r="S636" s="302"/>
      <c r="T636" s="301"/>
      <c r="U636" s="301"/>
      <c r="V636" s="301"/>
      <c r="W636" s="301"/>
      <c r="X636" s="301"/>
      <c r="Y636" s="301"/>
      <c r="Z636" s="301"/>
    </row>
    <row r="637">
      <c r="A637" s="33"/>
      <c r="B637" s="298"/>
      <c r="C637" s="299" t="s">
        <v>7787</v>
      </c>
      <c r="D637" s="299" t="s">
        <v>26</v>
      </c>
      <c r="E637" s="300"/>
      <c r="F637" s="123">
        <f t="shared" si="1"/>
        <v>1</v>
      </c>
      <c r="G637" s="121"/>
      <c r="H637" s="12"/>
      <c r="I637" s="192"/>
      <c r="J637" s="192"/>
      <c r="K637" s="192"/>
      <c r="L637" s="121"/>
      <c r="M637" s="301"/>
      <c r="N637" s="61"/>
      <c r="O637" s="309" t="s">
        <v>7788</v>
      </c>
      <c r="P637" s="300"/>
      <c r="Q637" s="300"/>
      <c r="R637" s="302"/>
      <c r="S637" s="302"/>
      <c r="T637" s="301"/>
      <c r="U637" s="301"/>
      <c r="V637" s="301"/>
      <c r="W637" s="301"/>
      <c r="X637" s="301"/>
      <c r="Y637" s="301"/>
      <c r="Z637" s="301"/>
    </row>
    <row r="638">
      <c r="A638" s="33"/>
      <c r="B638" s="298"/>
      <c r="C638" s="299" t="s">
        <v>7789</v>
      </c>
      <c r="D638" s="299" t="s">
        <v>40</v>
      </c>
      <c r="E638" s="310"/>
      <c r="F638" s="123">
        <f t="shared" si="1"/>
        <v>1</v>
      </c>
      <c r="G638" s="121"/>
      <c r="H638" s="12"/>
      <c r="I638" s="192"/>
      <c r="J638" s="192"/>
      <c r="K638" s="192"/>
      <c r="L638" s="121"/>
      <c r="M638" s="301"/>
      <c r="N638" s="61"/>
      <c r="O638" s="309" t="s">
        <v>7790</v>
      </c>
      <c r="P638" s="300"/>
      <c r="Q638" s="300"/>
      <c r="R638" s="302"/>
      <c r="S638" s="302"/>
      <c r="T638" s="301"/>
      <c r="U638" s="301"/>
      <c r="V638" s="301"/>
      <c r="W638" s="301"/>
      <c r="X638" s="301"/>
      <c r="Y638" s="301"/>
      <c r="Z638" s="301"/>
    </row>
    <row r="639">
      <c r="A639" s="33"/>
      <c r="B639" s="298" t="s">
        <v>2162</v>
      </c>
      <c r="C639" s="299" t="s">
        <v>2251</v>
      </c>
      <c r="D639" s="299" t="s">
        <v>26</v>
      </c>
      <c r="E639" s="310" t="s">
        <v>2252</v>
      </c>
      <c r="F639" s="123">
        <f t="shared" si="1"/>
        <v>2</v>
      </c>
      <c r="G639" s="121" t="s">
        <v>2253</v>
      </c>
      <c r="H639" s="12"/>
      <c r="I639" s="192" t="str">
        <f>IFERROR(__xludf.DUMMYFUNCTION("regexreplace(lower(C639), ""_"", """")"),"saethrombosisexperienceonsetdate")</f>
        <v>saethrombosisexperienceonsetdate</v>
      </c>
      <c r="J639" s="192" t="b">
        <f t="shared" ref="J639:J646" si="42">exact(I639, K639)</f>
        <v>1</v>
      </c>
      <c r="K639" s="192" t="str">
        <f>IFERROR(__xludf.DUMMYFUNCTION("regexreplace(G639, ""_"", """")"),"saethrombosisexperienceonsetdate")</f>
        <v>saethrombosisexperienceonsetdate</v>
      </c>
      <c r="L6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""$1$2"")"),"sae_thrombosis_experience_onset_date")</f>
        <v>sae_thrombosis_experience_onset_date</v>
      </c>
      <c r="M639" s="301"/>
      <c r="N639" s="61" t="s">
        <v>7776</v>
      </c>
      <c r="O639" s="301"/>
      <c r="P639" s="300" t="s">
        <v>2254</v>
      </c>
      <c r="Q639" s="300" t="s">
        <v>2255</v>
      </c>
      <c r="R639" s="302"/>
      <c r="S639" s="302"/>
      <c r="T639" s="301"/>
      <c r="U639" s="301"/>
      <c r="V639" s="301"/>
      <c r="W639" s="301"/>
      <c r="X639" s="301"/>
      <c r="Y639" s="301"/>
      <c r="Z639" s="301"/>
    </row>
    <row r="640">
      <c r="A640" s="33"/>
      <c r="B640" s="298" t="s">
        <v>2162</v>
      </c>
      <c r="C640" s="299" t="s">
        <v>2256</v>
      </c>
      <c r="D640" s="299" t="s">
        <v>145</v>
      </c>
      <c r="E640" s="310" t="s">
        <v>2257</v>
      </c>
      <c r="F640" s="123">
        <f t="shared" si="1"/>
        <v>2</v>
      </c>
      <c r="G640" s="121" t="s">
        <v>2258</v>
      </c>
      <c r="H640" s="12"/>
      <c r="I640" s="192" t="str">
        <f>IFERROR(__xludf.DUMMYFUNCTION("regexreplace(lower(C640), ""_"", """")"),"saethrombosisexperienceonsettime")</f>
        <v>saethrombosisexperienceonsettime</v>
      </c>
      <c r="J640" s="192" t="b">
        <f t="shared" si="42"/>
        <v>1</v>
      </c>
      <c r="K640" s="192" t="str">
        <f>IFERROR(__xludf.DUMMYFUNCTION("regexreplace(G640, ""_"", """")"),"saethrombosisexperienceonsettime")</f>
        <v>saethrombosisexperienceonsettime</v>
      </c>
      <c r="L6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""$1$2"")"),"sae_thrombosis_experience_onset_time")</f>
        <v>sae_thrombosis_experience_onset_time</v>
      </c>
      <c r="M640" s="301"/>
      <c r="N640" s="300"/>
      <c r="O640" s="301"/>
      <c r="P640" s="300" t="s">
        <v>2259</v>
      </c>
      <c r="Q640" s="300" t="s">
        <v>2260</v>
      </c>
      <c r="R640" s="302"/>
      <c r="S640" s="302"/>
      <c r="T640" s="301"/>
      <c r="U640" s="301"/>
      <c r="V640" s="301"/>
      <c r="W640" s="301"/>
      <c r="X640" s="301"/>
      <c r="Y640" s="301"/>
      <c r="Z640" s="301"/>
    </row>
    <row r="641">
      <c r="A641" s="33"/>
      <c r="B641" s="298" t="s">
        <v>2162</v>
      </c>
      <c r="C641" s="299" t="s">
        <v>2261</v>
      </c>
      <c r="D641" s="299" t="s">
        <v>26</v>
      </c>
      <c r="E641" s="310" t="s">
        <v>2262</v>
      </c>
      <c r="F641" s="123">
        <f t="shared" si="1"/>
        <v>2</v>
      </c>
      <c r="G641" s="121" t="s">
        <v>2263</v>
      </c>
      <c r="H641" s="12"/>
      <c r="I641" s="192" t="str">
        <f>IFERROR(__xludf.DUMMYFUNCTION("regexreplace(lower(C641), ""_"", """")"),"saethrombosisexperienceresolvedate")</f>
        <v>saethrombosisexperienceresolvedate</v>
      </c>
      <c r="J641" s="192" t="b">
        <f t="shared" si="42"/>
        <v>1</v>
      </c>
      <c r="K641" s="192" t="str">
        <f>IFERROR(__xludf.DUMMYFUNCTION("regexreplace(G641, ""_"", """")"),"saethrombosisexperienceresolvedate")</f>
        <v>saethrombosisexperienceresolvedate</v>
      </c>
      <c r="L6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""$1$2"")"),"sae_thrombosis_experience_resolve_date")</f>
        <v>sae_thrombosis_experience_resolve_date</v>
      </c>
      <c r="M641" s="301"/>
      <c r="N641" s="61" t="s">
        <v>7778</v>
      </c>
      <c r="O641" s="301"/>
      <c r="P641" s="300" t="s">
        <v>2264</v>
      </c>
      <c r="Q641" s="300" t="s">
        <v>2265</v>
      </c>
      <c r="R641" s="302"/>
      <c r="S641" s="302"/>
      <c r="T641" s="301"/>
      <c r="U641" s="301"/>
      <c r="V641" s="301"/>
      <c r="W641" s="301"/>
      <c r="X641" s="301"/>
      <c r="Y641" s="301"/>
      <c r="Z641" s="301"/>
    </row>
    <row r="642">
      <c r="A642" s="33"/>
      <c r="B642" s="298" t="s">
        <v>2162</v>
      </c>
      <c r="C642" s="299" t="s">
        <v>2266</v>
      </c>
      <c r="D642" s="299" t="s">
        <v>145</v>
      </c>
      <c r="E642" s="310" t="s">
        <v>2267</v>
      </c>
      <c r="F642" s="123">
        <f t="shared" si="1"/>
        <v>2</v>
      </c>
      <c r="G642" s="121" t="s">
        <v>2268</v>
      </c>
      <c r="H642" s="12"/>
      <c r="I642" s="192" t="str">
        <f>IFERROR(__xludf.DUMMYFUNCTION("regexreplace(lower(C642), ""_"", """")"),"saethrombosisexperienceresolvetime")</f>
        <v>saethrombosisexperienceresolvetime</v>
      </c>
      <c r="J642" s="192" t="b">
        <f t="shared" si="42"/>
        <v>1</v>
      </c>
      <c r="K642" s="192" t="str">
        <f>IFERROR(__xludf.DUMMYFUNCTION("regexreplace(G642, ""_"", """")"),"saethrombosisexperienceresolvetime")</f>
        <v>saethrombosisexperienceresolvetime</v>
      </c>
      <c r="L6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""$1$2"")"),"sae_thrombosis_experience_resolve_time")</f>
        <v>sae_thrombosis_experience_resolve_time</v>
      </c>
      <c r="M642" s="301"/>
      <c r="N642" s="300"/>
      <c r="O642" s="301"/>
      <c r="P642" s="300" t="s">
        <v>2269</v>
      </c>
      <c r="Q642" s="300" t="s">
        <v>2270</v>
      </c>
      <c r="R642" s="302"/>
      <c r="S642" s="302"/>
      <c r="T642" s="301"/>
      <c r="U642" s="301"/>
      <c r="V642" s="301"/>
      <c r="W642" s="301"/>
      <c r="X642" s="301"/>
      <c r="Y642" s="301"/>
      <c r="Z642" s="301"/>
    </row>
    <row r="643">
      <c r="A643" s="33"/>
      <c r="B643" s="298" t="s">
        <v>2162</v>
      </c>
      <c r="C643" s="299" t="s">
        <v>2271</v>
      </c>
      <c r="D643" s="299" t="s">
        <v>2189</v>
      </c>
      <c r="E643" s="300" t="s">
        <v>2272</v>
      </c>
      <c r="F643" s="123">
        <f t="shared" si="1"/>
        <v>2</v>
      </c>
      <c r="G643" s="121" t="s">
        <v>2273</v>
      </c>
      <c r="H643" s="12"/>
      <c r="I643" s="192" t="str">
        <f>IFERROR(__xludf.DUMMYFUNCTION("regexreplace(lower(C643), ""_"", """")"),"saethrombosisexperienceduetohypothermia")</f>
        <v>saethrombosisexperienceduetohypothermia</v>
      </c>
      <c r="J643" s="192" t="b">
        <f t="shared" si="42"/>
        <v>1</v>
      </c>
      <c r="K643" s="192" t="str">
        <f>IFERROR(__xludf.DUMMYFUNCTION("regexreplace(G643, ""_"", """")"),"saethrombosisexperienceduetohypothermia")</f>
        <v>saethrombosisexperienceduetohypothermia</v>
      </c>
      <c r="L6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""$1$2"")"),"sae_thrombosis_experience_due_to_hypothermia")</f>
        <v>sae_thrombosis_experience_due_to_hypothermia</v>
      </c>
      <c r="M643" s="301"/>
      <c r="N643" s="61" t="s">
        <v>7779</v>
      </c>
      <c r="O643" s="301"/>
      <c r="P643" s="300" t="s">
        <v>2274</v>
      </c>
      <c r="Q643" s="300" t="s">
        <v>2275</v>
      </c>
      <c r="R643" s="302"/>
      <c r="S643" s="302"/>
      <c r="T643" s="301"/>
      <c r="U643" s="301"/>
      <c r="V643" s="301"/>
      <c r="W643" s="301"/>
      <c r="X643" s="301"/>
      <c r="Y643" s="301"/>
      <c r="Z643" s="301"/>
    </row>
    <row r="644">
      <c r="A644" s="33"/>
      <c r="B644" s="298" t="s">
        <v>2162</v>
      </c>
      <c r="C644" s="299" t="s">
        <v>2276</v>
      </c>
      <c r="D644" s="299" t="s">
        <v>2195</v>
      </c>
      <c r="E644" s="300" t="s">
        <v>2277</v>
      </c>
      <c r="F644" s="123">
        <f t="shared" si="1"/>
        <v>2</v>
      </c>
      <c r="G644" s="121" t="s">
        <v>2278</v>
      </c>
      <c r="H644" s="12"/>
      <c r="I644" s="192" t="str">
        <f>IFERROR(__xludf.DUMMYFUNCTION("regexreplace(lower(C644), ""_"", """")"),"saethrombosisexperienceactiontaken")</f>
        <v>saethrombosisexperienceactiontaken</v>
      </c>
      <c r="J644" s="192" t="b">
        <f t="shared" si="42"/>
        <v>1</v>
      </c>
      <c r="K644" s="192" t="str">
        <f>IFERROR(__xludf.DUMMYFUNCTION("regexreplace(G644, ""_"", """")"),"saethrombosisexperienceactiontaken")</f>
        <v>saethrombosisexperienceactiontaken</v>
      </c>
      <c r="L6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""$1$2"")"),"sae_thrombosis_experience_action_taken")</f>
        <v>sae_thrombosis_experience_action_taken</v>
      </c>
      <c r="M644" s="301"/>
      <c r="N644" s="61" t="s">
        <v>7780</v>
      </c>
      <c r="O644" s="301"/>
      <c r="P644" s="300" t="s">
        <v>2279</v>
      </c>
      <c r="Q644" s="300" t="s">
        <v>2280</v>
      </c>
      <c r="R644" s="302"/>
      <c r="S644" s="302"/>
      <c r="T644" s="301"/>
      <c r="U644" s="301"/>
      <c r="V644" s="301"/>
      <c r="W644" s="301"/>
      <c r="X644" s="301"/>
      <c r="Y644" s="301"/>
      <c r="Z644" s="301"/>
    </row>
    <row r="645">
      <c r="A645" s="33"/>
      <c r="B645" s="298" t="s">
        <v>2162</v>
      </c>
      <c r="C645" s="299" t="s">
        <v>2281</v>
      </c>
      <c r="D645" s="299" t="s">
        <v>2201</v>
      </c>
      <c r="E645" s="300" t="s">
        <v>2282</v>
      </c>
      <c r="F645" s="123">
        <f t="shared" si="1"/>
        <v>2</v>
      </c>
      <c r="G645" s="121" t="s">
        <v>2283</v>
      </c>
      <c r="H645" s="12"/>
      <c r="I645" s="192" t="str">
        <f>IFERROR(__xludf.DUMMYFUNCTION("regexreplace(lower(C645), ""_"", """")"),"saethrombosisexperienceoutcome")</f>
        <v>saethrombosisexperienceoutcome</v>
      </c>
      <c r="J645" s="192" t="b">
        <f t="shared" si="42"/>
        <v>1</v>
      </c>
      <c r="K645" s="192" t="str">
        <f>IFERROR(__xludf.DUMMYFUNCTION("regexreplace(G645, ""_"", """")"),"saethrombosisexperienceoutcome")</f>
        <v>saethrombosisexperienceoutcome</v>
      </c>
      <c r="L6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""$1$2"")"),"sae_thrombosis_experience_outcome")</f>
        <v>sae_thrombosis_experience_outcome</v>
      </c>
      <c r="M645" s="301"/>
      <c r="N645" s="61" t="s">
        <v>7781</v>
      </c>
      <c r="O645" s="301"/>
      <c r="P645" s="300" t="s">
        <v>2284</v>
      </c>
      <c r="Q645" s="300" t="s">
        <v>2285</v>
      </c>
      <c r="R645" s="302"/>
      <c r="S645" s="302"/>
      <c r="T645" s="301"/>
      <c r="U645" s="301"/>
      <c r="V645" s="301"/>
      <c r="W645" s="301"/>
      <c r="X645" s="301"/>
      <c r="Y645" s="301"/>
      <c r="Z645" s="301"/>
    </row>
    <row r="646">
      <c r="A646" s="33"/>
      <c r="B646" s="298" t="s">
        <v>2162</v>
      </c>
      <c r="C646" s="299" t="s">
        <v>2286</v>
      </c>
      <c r="D646" s="299" t="s">
        <v>16</v>
      </c>
      <c r="E646" s="300" t="s">
        <v>2287</v>
      </c>
      <c r="F646" s="123">
        <f t="shared" si="1"/>
        <v>2</v>
      </c>
      <c r="G646" s="121" t="s">
        <v>2288</v>
      </c>
      <c r="H646" s="12"/>
      <c r="I646" s="192" t="str">
        <f>IFERROR(__xludf.DUMMYFUNCTION("regexreplace(lower(C646), ""_"", """")"),"saethrombosisexperiencecomment")</f>
        <v>saethrombosisexperiencecomment</v>
      </c>
      <c r="J646" s="192" t="b">
        <f t="shared" si="42"/>
        <v>1</v>
      </c>
      <c r="K646" s="192" t="str">
        <f>IFERROR(__xludf.DUMMYFUNCTION("regexreplace(G646, ""_"", """")"),"saethrombosisexperiencecomment")</f>
        <v>saethrombosisexperiencecomment</v>
      </c>
      <c r="L6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""$1$2"")"),"sae_thrombosis_experience_comment")</f>
        <v>sae_thrombosis_experience_comment</v>
      </c>
      <c r="M646" s="301"/>
      <c r="N646" s="61" t="s">
        <v>7782</v>
      </c>
      <c r="O646" s="301"/>
      <c r="P646" s="300" t="s">
        <v>2289</v>
      </c>
      <c r="Q646" s="300" t="s">
        <v>2290</v>
      </c>
      <c r="R646" s="302"/>
      <c r="S646" s="302"/>
      <c r="T646" s="301"/>
      <c r="U646" s="301"/>
      <c r="V646" s="301"/>
      <c r="W646" s="301"/>
      <c r="X646" s="301"/>
      <c r="Y646" s="301"/>
      <c r="Z646" s="301"/>
    </row>
    <row r="647">
      <c r="A647" s="33"/>
      <c r="B647" s="298"/>
      <c r="C647" s="299" t="s">
        <v>7791</v>
      </c>
      <c r="D647" s="299" t="s">
        <v>40</v>
      </c>
      <c r="E647" s="300"/>
      <c r="F647" s="123">
        <f t="shared" si="1"/>
        <v>1</v>
      </c>
      <c r="G647" s="121"/>
      <c r="H647" s="12"/>
      <c r="I647" s="192"/>
      <c r="J647" s="192"/>
      <c r="K647" s="192"/>
      <c r="L647" s="121"/>
      <c r="M647" s="301"/>
      <c r="N647" s="61"/>
      <c r="O647" s="309" t="s">
        <v>7792</v>
      </c>
      <c r="P647" s="300"/>
      <c r="Q647" s="300"/>
      <c r="R647" s="302"/>
      <c r="S647" s="302"/>
      <c r="T647" s="301"/>
      <c r="U647" s="301"/>
      <c r="V647" s="301"/>
      <c r="W647" s="301"/>
      <c r="X647" s="301"/>
      <c r="Y647" s="301"/>
      <c r="Z647" s="301"/>
    </row>
    <row r="648">
      <c r="A648" s="33"/>
      <c r="B648" s="298"/>
      <c r="C648" s="299" t="s">
        <v>7793</v>
      </c>
      <c r="D648" s="299" t="s">
        <v>26</v>
      </c>
      <c r="E648" s="300"/>
      <c r="F648" s="123">
        <f t="shared" si="1"/>
        <v>1</v>
      </c>
      <c r="G648" s="121"/>
      <c r="H648" s="12"/>
      <c r="I648" s="192"/>
      <c r="J648" s="192"/>
      <c r="K648" s="192"/>
      <c r="L648" s="121"/>
      <c r="M648" s="301"/>
      <c r="N648" s="61"/>
      <c r="O648" s="309" t="s">
        <v>7794</v>
      </c>
      <c r="P648" s="300"/>
      <c r="Q648" s="300"/>
      <c r="R648" s="302"/>
      <c r="S648" s="302"/>
      <c r="T648" s="301"/>
      <c r="U648" s="301"/>
      <c r="V648" s="301"/>
      <c r="W648" s="301"/>
      <c r="X648" s="301"/>
      <c r="Y648" s="301"/>
      <c r="Z648" s="301"/>
    </row>
    <row r="649">
      <c r="A649" s="33"/>
      <c r="B649" s="298"/>
      <c r="C649" s="299" t="s">
        <v>7795</v>
      </c>
      <c r="D649" s="299" t="s">
        <v>40</v>
      </c>
      <c r="E649" s="300"/>
      <c r="F649" s="123">
        <f t="shared" si="1"/>
        <v>1</v>
      </c>
      <c r="G649" s="121"/>
      <c r="H649" s="12"/>
      <c r="I649" s="192"/>
      <c r="J649" s="192"/>
      <c r="K649" s="192"/>
      <c r="L649" s="121"/>
      <c r="M649" s="301"/>
      <c r="N649" s="61"/>
      <c r="O649" s="309" t="s">
        <v>7796</v>
      </c>
      <c r="P649" s="300"/>
      <c r="Q649" s="300"/>
      <c r="R649" s="302"/>
      <c r="S649" s="302"/>
      <c r="T649" s="301"/>
      <c r="U649" s="301"/>
      <c r="V649" s="301"/>
      <c r="W649" s="301"/>
      <c r="X649" s="301"/>
      <c r="Y649" s="301"/>
      <c r="Z649" s="301"/>
    </row>
    <row r="650">
      <c r="A650" s="33"/>
      <c r="B650" s="298"/>
      <c r="C650" s="299" t="s">
        <v>7797</v>
      </c>
      <c r="D650" s="299" t="s">
        <v>40</v>
      </c>
      <c r="E650" s="300"/>
      <c r="F650" s="123">
        <f t="shared" si="1"/>
        <v>1</v>
      </c>
      <c r="G650" s="121"/>
      <c r="H650" s="12"/>
      <c r="I650" s="192"/>
      <c r="J650" s="192"/>
      <c r="K650" s="192"/>
      <c r="L650" s="121"/>
      <c r="M650" s="301"/>
      <c r="N650" s="61"/>
      <c r="O650" s="309" t="s">
        <v>7798</v>
      </c>
      <c r="P650" s="300"/>
      <c r="Q650" s="300"/>
      <c r="R650" s="302"/>
      <c r="S650" s="302"/>
      <c r="T650" s="301"/>
      <c r="U650" s="301"/>
      <c r="V650" s="301"/>
      <c r="W650" s="301"/>
      <c r="X650" s="301"/>
      <c r="Y650" s="301"/>
      <c r="Z650" s="301"/>
    </row>
    <row r="651">
      <c r="A651" s="33"/>
      <c r="B651" s="298"/>
      <c r="C651" s="299" t="s">
        <v>7799</v>
      </c>
      <c r="D651" s="299" t="s">
        <v>26</v>
      </c>
      <c r="E651" s="300"/>
      <c r="F651" s="123">
        <f t="shared" si="1"/>
        <v>1</v>
      </c>
      <c r="G651" s="121"/>
      <c r="H651" s="12"/>
      <c r="I651" s="192"/>
      <c r="J651" s="192"/>
      <c r="K651" s="192"/>
      <c r="L651" s="121"/>
      <c r="M651" s="301"/>
      <c r="N651" s="61"/>
      <c r="O651" s="309" t="s">
        <v>7800</v>
      </c>
      <c r="P651" s="300"/>
      <c r="Q651" s="300"/>
      <c r="R651" s="302"/>
      <c r="S651" s="302"/>
      <c r="T651" s="301"/>
      <c r="U651" s="301"/>
      <c r="V651" s="301"/>
      <c r="W651" s="301"/>
      <c r="X651" s="301"/>
      <c r="Y651" s="301"/>
      <c r="Z651" s="301"/>
    </row>
    <row r="652">
      <c r="A652" s="33"/>
      <c r="B652" s="298"/>
      <c r="C652" s="299" t="s">
        <v>7801</v>
      </c>
      <c r="D652" s="299" t="s">
        <v>40</v>
      </c>
      <c r="E652" s="310"/>
      <c r="F652" s="123">
        <f t="shared" si="1"/>
        <v>1</v>
      </c>
      <c r="G652" s="121"/>
      <c r="H652" s="12"/>
      <c r="I652" s="192"/>
      <c r="J652" s="192"/>
      <c r="K652" s="192"/>
      <c r="L652" s="121"/>
      <c r="M652" s="301"/>
      <c r="N652" s="61"/>
      <c r="O652" s="309" t="s">
        <v>7802</v>
      </c>
      <c r="P652" s="300"/>
      <c r="Q652" s="300"/>
      <c r="R652" s="302"/>
      <c r="S652" s="302"/>
      <c r="T652" s="301"/>
      <c r="U652" s="301"/>
      <c r="V652" s="301"/>
      <c r="W652" s="301"/>
      <c r="X652" s="301"/>
      <c r="Y652" s="301"/>
      <c r="Z652" s="301"/>
    </row>
    <row r="653">
      <c r="A653" s="33"/>
      <c r="B653" s="298" t="s">
        <v>2162</v>
      </c>
      <c r="C653" s="299" t="s">
        <v>2291</v>
      </c>
      <c r="D653" s="299" t="s">
        <v>26</v>
      </c>
      <c r="E653" s="310" t="s">
        <v>2292</v>
      </c>
      <c r="F653" s="123">
        <f t="shared" si="1"/>
        <v>2</v>
      </c>
      <c r="G653" s="121" t="s">
        <v>2293</v>
      </c>
      <c r="H653" s="12"/>
      <c r="I653" s="192" t="str">
        <f>IFERROR(__xludf.DUMMYFUNCTION("regexreplace(lower(C653), ""_"", """")"),"saebleedingexperienceonsetdate")</f>
        <v>saebleedingexperienceonsetdate</v>
      </c>
      <c r="J653" s="192" t="b">
        <f t="shared" ref="J653:J667" si="43">exact(I653, K653)</f>
        <v>1</v>
      </c>
      <c r="K653" s="192" t="str">
        <f>IFERROR(__xludf.DUMMYFUNCTION("regexreplace(G653, ""_"", """")"),"saebleedingexperienceonsetdate")</f>
        <v>saebleedingexperienceonsetdate</v>
      </c>
      <c r="L6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""$1$2"")"),"sae_bleeding_experience_onset_date")</f>
        <v>sae_bleeding_experience_onset_date</v>
      </c>
      <c r="M653" s="301"/>
      <c r="N653" s="61" t="s">
        <v>7776</v>
      </c>
      <c r="O653" s="301"/>
      <c r="P653" s="300" t="s">
        <v>2294</v>
      </c>
      <c r="Q653" s="300" t="s">
        <v>2295</v>
      </c>
      <c r="R653" s="302"/>
      <c r="S653" s="302"/>
      <c r="T653" s="301"/>
      <c r="U653" s="301"/>
      <c r="V653" s="301"/>
      <c r="W653" s="301"/>
      <c r="X653" s="301"/>
      <c r="Y653" s="301"/>
      <c r="Z653" s="301"/>
    </row>
    <row r="654">
      <c r="A654" s="33"/>
      <c r="B654" s="298" t="s">
        <v>2162</v>
      </c>
      <c r="C654" s="299" t="s">
        <v>2296</v>
      </c>
      <c r="D654" s="299" t="s">
        <v>145</v>
      </c>
      <c r="E654" s="310" t="s">
        <v>2297</v>
      </c>
      <c r="F654" s="123">
        <f t="shared" si="1"/>
        <v>2</v>
      </c>
      <c r="G654" s="121" t="s">
        <v>2298</v>
      </c>
      <c r="H654" s="12"/>
      <c r="I654" s="192" t="str">
        <f>IFERROR(__xludf.DUMMYFUNCTION("regexreplace(lower(C654), ""_"", """")"),"saebleedingexperienceonsettime")</f>
        <v>saebleedingexperienceonsettime</v>
      </c>
      <c r="J654" s="192" t="b">
        <f t="shared" si="43"/>
        <v>1</v>
      </c>
      <c r="K654" s="192" t="str">
        <f>IFERROR(__xludf.DUMMYFUNCTION("regexreplace(G654, ""_"", """")"),"saebleedingexperienceonsettime")</f>
        <v>saebleedingexperienceonsettime</v>
      </c>
      <c r="L6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""$1$2"")"),"sae_bleeding_experience_onset_time")</f>
        <v>sae_bleeding_experience_onset_time</v>
      </c>
      <c r="M654" s="301"/>
      <c r="N654" s="300"/>
      <c r="O654" s="301"/>
      <c r="P654" s="300" t="s">
        <v>2299</v>
      </c>
      <c r="Q654" s="300" t="s">
        <v>2300</v>
      </c>
      <c r="R654" s="302"/>
      <c r="S654" s="302"/>
      <c r="T654" s="301"/>
      <c r="U654" s="301"/>
      <c r="V654" s="301"/>
      <c r="W654" s="301"/>
      <c r="X654" s="301"/>
      <c r="Y654" s="301"/>
      <c r="Z654" s="301"/>
    </row>
    <row r="655">
      <c r="A655" s="33"/>
      <c r="B655" s="298" t="s">
        <v>2162</v>
      </c>
      <c r="C655" s="299" t="s">
        <v>2301</v>
      </c>
      <c r="D655" s="299" t="s">
        <v>26</v>
      </c>
      <c r="E655" s="310" t="s">
        <v>2302</v>
      </c>
      <c r="F655" s="123">
        <f t="shared" si="1"/>
        <v>2</v>
      </c>
      <c r="G655" s="121" t="s">
        <v>2303</v>
      </c>
      <c r="H655" s="12"/>
      <c r="I655" s="192" t="str">
        <f>IFERROR(__xludf.DUMMYFUNCTION("regexreplace(lower(C655), ""_"", """")"),"saebleedingexperienceresolvedate")</f>
        <v>saebleedingexperienceresolvedate</v>
      </c>
      <c r="J655" s="192" t="b">
        <f t="shared" si="43"/>
        <v>1</v>
      </c>
      <c r="K655" s="192" t="str">
        <f>IFERROR(__xludf.DUMMYFUNCTION("regexreplace(G655, ""_"", """")"),"saebleedingexperienceresolvedate")</f>
        <v>saebleedingexperienceresolvedate</v>
      </c>
      <c r="L6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""$1$2"")"),"sae_bleeding_experience_resolve_date")</f>
        <v>sae_bleeding_experience_resolve_date</v>
      </c>
      <c r="M655" s="301"/>
      <c r="N655" s="61" t="s">
        <v>7778</v>
      </c>
      <c r="O655" s="301"/>
      <c r="P655" s="300" t="s">
        <v>2304</v>
      </c>
      <c r="Q655" s="300" t="s">
        <v>2305</v>
      </c>
      <c r="R655" s="302"/>
      <c r="S655" s="302"/>
      <c r="T655" s="301"/>
      <c r="U655" s="301"/>
      <c r="V655" s="301"/>
      <c r="W655" s="301"/>
      <c r="X655" s="301"/>
      <c r="Y655" s="301"/>
      <c r="Z655" s="301"/>
    </row>
    <row r="656">
      <c r="A656" s="33"/>
      <c r="B656" s="298" t="s">
        <v>2162</v>
      </c>
      <c r="C656" s="299" t="s">
        <v>2306</v>
      </c>
      <c r="D656" s="299" t="s">
        <v>145</v>
      </c>
      <c r="E656" s="310" t="s">
        <v>2307</v>
      </c>
      <c r="F656" s="123">
        <f t="shared" si="1"/>
        <v>2</v>
      </c>
      <c r="G656" s="121" t="s">
        <v>2308</v>
      </c>
      <c r="H656" s="12"/>
      <c r="I656" s="192" t="str">
        <f>IFERROR(__xludf.DUMMYFUNCTION("regexreplace(lower(C656), ""_"", """")"),"saebleedingexperienceresolvetime")</f>
        <v>saebleedingexperienceresolvetime</v>
      </c>
      <c r="J656" s="192" t="b">
        <f t="shared" si="43"/>
        <v>1</v>
      </c>
      <c r="K656" s="192" t="str">
        <f>IFERROR(__xludf.DUMMYFUNCTION("regexreplace(G656, ""_"", """")"),"saebleedingexperienceresolvetime")</f>
        <v>saebleedingexperienceresolvetime</v>
      </c>
      <c r="L6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""$1$2"")"),"sae_bleeding_experience_resolve_time")</f>
        <v>sae_bleeding_experience_resolve_time</v>
      </c>
      <c r="M656" s="301"/>
      <c r="N656" s="300"/>
      <c r="O656" s="301"/>
      <c r="P656" s="300" t="s">
        <v>2309</v>
      </c>
      <c r="Q656" s="300" t="s">
        <v>2310</v>
      </c>
      <c r="R656" s="302"/>
      <c r="S656" s="302"/>
      <c r="T656" s="301"/>
      <c r="U656" s="301"/>
      <c r="V656" s="301"/>
      <c r="W656" s="301"/>
      <c r="X656" s="301"/>
      <c r="Y656" s="301"/>
      <c r="Z656" s="301"/>
    </row>
    <row r="657">
      <c r="A657" s="33"/>
      <c r="B657" s="298" t="s">
        <v>2162</v>
      </c>
      <c r="C657" s="299" t="s">
        <v>2311</v>
      </c>
      <c r="D657" s="299" t="s">
        <v>2189</v>
      </c>
      <c r="E657" s="300" t="s">
        <v>2312</v>
      </c>
      <c r="F657" s="123">
        <f t="shared" si="1"/>
        <v>2</v>
      </c>
      <c r="G657" s="121" t="s">
        <v>2313</v>
      </c>
      <c r="H657" s="12"/>
      <c r="I657" s="192" t="str">
        <f>IFERROR(__xludf.DUMMYFUNCTION("regexreplace(lower(C657), ""_"", """")"),"saebleedingexperienceduetohypothermia")</f>
        <v>saebleedingexperienceduetohypothermia</v>
      </c>
      <c r="J657" s="192" t="b">
        <f t="shared" si="43"/>
        <v>1</v>
      </c>
      <c r="K657" s="192" t="str">
        <f>IFERROR(__xludf.DUMMYFUNCTION("regexreplace(G657, ""_"", """")"),"saebleedingexperienceduetohypothermia")</f>
        <v>saebleedingexperienceduetohypothermia</v>
      </c>
      <c r="L6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""$1$2"")"),"sae_bleeding_experience_due_to_hypothermia")</f>
        <v>sae_bleeding_experience_due_to_hypothermia</v>
      </c>
      <c r="M657" s="301"/>
      <c r="N657" s="61" t="s">
        <v>7779</v>
      </c>
      <c r="O657" s="301"/>
      <c r="P657" s="300" t="s">
        <v>2314</v>
      </c>
      <c r="Q657" s="300" t="s">
        <v>2315</v>
      </c>
      <c r="R657" s="302"/>
      <c r="S657" s="302"/>
      <c r="T657" s="301"/>
      <c r="U657" s="301"/>
      <c r="V657" s="301"/>
      <c r="W657" s="301"/>
      <c r="X657" s="301"/>
      <c r="Y657" s="301"/>
      <c r="Z657" s="301"/>
    </row>
    <row r="658">
      <c r="A658" s="33"/>
      <c r="B658" s="298" t="s">
        <v>2162</v>
      </c>
      <c r="C658" s="299" t="s">
        <v>2316</v>
      </c>
      <c r="D658" s="299" t="s">
        <v>2195</v>
      </c>
      <c r="E658" s="300" t="s">
        <v>2317</v>
      </c>
      <c r="F658" s="123">
        <f t="shared" si="1"/>
        <v>2</v>
      </c>
      <c r="G658" s="121" t="s">
        <v>2318</v>
      </c>
      <c r="H658" s="12"/>
      <c r="I658" s="192" t="str">
        <f>IFERROR(__xludf.DUMMYFUNCTION("regexreplace(lower(C658), ""_"", """")"),"saebleedingexperienceactiontaken")</f>
        <v>saebleedingexperienceactiontaken</v>
      </c>
      <c r="J658" s="192" t="b">
        <f t="shared" si="43"/>
        <v>1</v>
      </c>
      <c r="K658" s="192" t="str">
        <f>IFERROR(__xludf.DUMMYFUNCTION("regexreplace(G658, ""_"", """")"),"saebleedingexperienceactiontaken")</f>
        <v>saebleedingexperienceactiontaken</v>
      </c>
      <c r="L6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""$1$2"")"),"sae_bleeding_experience_action_taken")</f>
        <v>sae_bleeding_experience_action_taken</v>
      </c>
      <c r="M658" s="301"/>
      <c r="N658" s="61" t="s">
        <v>7780</v>
      </c>
      <c r="O658" s="301"/>
      <c r="P658" s="300" t="s">
        <v>2319</v>
      </c>
      <c r="Q658" s="300" t="s">
        <v>2320</v>
      </c>
      <c r="R658" s="302"/>
      <c r="S658" s="302"/>
      <c r="T658" s="301"/>
      <c r="U658" s="301"/>
      <c r="V658" s="301"/>
      <c r="W658" s="301"/>
      <c r="X658" s="301"/>
      <c r="Y658" s="301"/>
      <c r="Z658" s="301"/>
    </row>
    <row r="659">
      <c r="A659" s="33"/>
      <c r="B659" s="298" t="s">
        <v>2162</v>
      </c>
      <c r="C659" s="299" t="s">
        <v>2321</v>
      </c>
      <c r="D659" s="299" t="s">
        <v>2201</v>
      </c>
      <c r="E659" s="300" t="s">
        <v>2322</v>
      </c>
      <c r="F659" s="123">
        <f t="shared" si="1"/>
        <v>2</v>
      </c>
      <c r="G659" s="121" t="s">
        <v>2323</v>
      </c>
      <c r="H659" s="12"/>
      <c r="I659" s="192" t="str">
        <f>IFERROR(__xludf.DUMMYFUNCTION("regexreplace(lower(C659), ""_"", """")"),"saebleedingexperienceoutcome")</f>
        <v>saebleedingexperienceoutcome</v>
      </c>
      <c r="J659" s="192" t="b">
        <f t="shared" si="43"/>
        <v>1</v>
      </c>
      <c r="K659" s="192" t="str">
        <f>IFERROR(__xludf.DUMMYFUNCTION("regexreplace(G659, ""_"", """")"),"saebleedingexperienceoutcome")</f>
        <v>saebleedingexperienceoutcome</v>
      </c>
      <c r="L6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""$1$2"")"),"sae_bleeding_experience_outcome")</f>
        <v>sae_bleeding_experience_outcome</v>
      </c>
      <c r="M659" s="301"/>
      <c r="N659" s="61" t="s">
        <v>7781</v>
      </c>
      <c r="O659" s="301"/>
      <c r="P659" s="300" t="s">
        <v>2324</v>
      </c>
      <c r="Q659" s="300" t="s">
        <v>2325</v>
      </c>
      <c r="R659" s="302"/>
      <c r="S659" s="302"/>
      <c r="T659" s="301"/>
      <c r="U659" s="301"/>
      <c r="V659" s="301"/>
      <c r="W659" s="301"/>
      <c r="X659" s="301"/>
      <c r="Y659" s="301"/>
      <c r="Z659" s="301"/>
    </row>
    <row r="660">
      <c r="A660" s="33"/>
      <c r="B660" s="298" t="s">
        <v>2162</v>
      </c>
      <c r="C660" s="299" t="s">
        <v>2326</v>
      </c>
      <c r="D660" s="299" t="s">
        <v>16</v>
      </c>
      <c r="E660" s="300" t="s">
        <v>2327</v>
      </c>
      <c r="F660" s="123">
        <f t="shared" si="1"/>
        <v>2</v>
      </c>
      <c r="G660" s="121" t="s">
        <v>2328</v>
      </c>
      <c r="H660" s="12"/>
      <c r="I660" s="192" t="str">
        <f>IFERROR(__xludf.DUMMYFUNCTION("regexreplace(lower(C660), ""_"", """")"),"saebleedingexperiencecomment")</f>
        <v>saebleedingexperiencecomment</v>
      </c>
      <c r="J660" s="192" t="b">
        <f t="shared" si="43"/>
        <v>1</v>
      </c>
      <c r="K660" s="192" t="str">
        <f>IFERROR(__xludf.DUMMYFUNCTION("regexreplace(G660, ""_"", """")"),"saebleedingexperiencecomment")</f>
        <v>saebleedingexperiencecomment</v>
      </c>
      <c r="L6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""$1$2"")"),"sae_bleeding_experience_comment")</f>
        <v>sae_bleeding_experience_comment</v>
      </c>
      <c r="M660" s="301"/>
      <c r="N660" s="61" t="s">
        <v>7782</v>
      </c>
      <c r="O660" s="301"/>
      <c r="P660" s="300" t="s">
        <v>2329</v>
      </c>
      <c r="Q660" s="300" t="s">
        <v>2330</v>
      </c>
      <c r="R660" s="302"/>
      <c r="S660" s="302"/>
      <c r="T660" s="301"/>
      <c r="U660" s="301"/>
      <c r="V660" s="301"/>
      <c r="W660" s="301"/>
      <c r="X660" s="301"/>
      <c r="Y660" s="301"/>
      <c r="Z660" s="301"/>
    </row>
    <row r="661">
      <c r="A661" s="33"/>
      <c r="B661" s="298" t="s">
        <v>2162</v>
      </c>
      <c r="C661" s="299" t="s">
        <v>2331</v>
      </c>
      <c r="D661" s="299" t="s">
        <v>2331</v>
      </c>
      <c r="E661" s="300" t="s">
        <v>2332</v>
      </c>
      <c r="F661" s="123">
        <f t="shared" si="1"/>
        <v>2</v>
      </c>
      <c r="G661" s="121" t="s">
        <v>2333</v>
      </c>
      <c r="H661" s="12"/>
      <c r="I661" s="192" t="str">
        <f>IFERROR(__xludf.DUMMYFUNCTION("regexreplace(lower(C661), ""_"", """")"),"saealterationskinintegrity")</f>
        <v>saealterationskinintegrity</v>
      </c>
      <c r="J661" s="192" t="b">
        <f t="shared" si="43"/>
        <v>1</v>
      </c>
      <c r="K661" s="192" t="str">
        <f>IFERROR(__xludf.DUMMYFUNCTION("regexreplace(G661, ""_"", """")"),"saealterationskinintegrity")</f>
        <v>saealterationskinintegrity</v>
      </c>
      <c r="L6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""$1$2"")"),"sae_alteration_skin_integrity")</f>
        <v>sae_alteration_skin_integrity</v>
      </c>
      <c r="M661" s="301"/>
      <c r="N661" s="300"/>
      <c r="O661" s="301"/>
      <c r="P661" s="300" t="s">
        <v>2334</v>
      </c>
      <c r="Q661" s="300" t="s">
        <v>2335</v>
      </c>
      <c r="R661" s="302"/>
      <c r="S661" s="302"/>
      <c r="T661" s="301"/>
      <c r="U661" s="301"/>
      <c r="V661" s="301"/>
      <c r="W661" s="301"/>
      <c r="X661" s="301"/>
      <c r="Y661" s="301"/>
      <c r="Z661" s="301"/>
    </row>
    <row r="662">
      <c r="A662" s="33"/>
      <c r="B662" s="298" t="s">
        <v>2162</v>
      </c>
      <c r="C662" s="299" t="s">
        <v>2336</v>
      </c>
      <c r="D662" s="299" t="s">
        <v>26</v>
      </c>
      <c r="E662" s="310" t="s">
        <v>2337</v>
      </c>
      <c r="F662" s="123">
        <f t="shared" si="1"/>
        <v>1</v>
      </c>
      <c r="G662" s="121" t="s">
        <v>2338</v>
      </c>
      <c r="H662" s="12"/>
      <c r="I662" s="192" t="str">
        <f>IFERROR(__xludf.DUMMYFUNCTION("regexreplace(lower(C662), ""_"", """")"),"saealterationskinintegrityonsetdate")</f>
        <v>saealterationskinintegrityonsetdate</v>
      </c>
      <c r="J662" s="192" t="b">
        <f t="shared" si="43"/>
        <v>1</v>
      </c>
      <c r="K662" s="192" t="str">
        <f>IFERROR(__xludf.DUMMYFUNCTION("regexreplace(G662, ""_"", """")"),"saealterationskinintegrityonsetdate")</f>
        <v>saealterationskinintegrityonsetdate</v>
      </c>
      <c r="L6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""$1$2"")"),"sae_alteration_skin_integrity_onset_date")</f>
        <v>sae_alteration_skin_integrity_onset_date</v>
      </c>
      <c r="M662" s="301"/>
      <c r="N662" s="61" t="s">
        <v>7776</v>
      </c>
      <c r="O662" s="301"/>
      <c r="P662" s="311"/>
      <c r="Q662" s="300" t="s">
        <v>2339</v>
      </c>
      <c r="R662" s="302"/>
      <c r="S662" s="302"/>
      <c r="T662" s="301"/>
      <c r="U662" s="301"/>
      <c r="V662" s="301"/>
      <c r="W662" s="301"/>
      <c r="X662" s="301"/>
      <c r="Y662" s="301"/>
      <c r="Z662" s="301"/>
    </row>
    <row r="663">
      <c r="A663" s="33"/>
      <c r="B663" s="298" t="s">
        <v>2162</v>
      </c>
      <c r="C663" s="299" t="s">
        <v>2340</v>
      </c>
      <c r="D663" s="299" t="s">
        <v>26</v>
      </c>
      <c r="E663" s="310" t="s">
        <v>2341</v>
      </c>
      <c r="F663" s="123">
        <f t="shared" si="1"/>
        <v>1</v>
      </c>
      <c r="G663" s="121" t="s">
        <v>2342</v>
      </c>
      <c r="H663" s="12"/>
      <c r="I663" s="192" t="str">
        <f>IFERROR(__xludf.DUMMYFUNCTION("regexreplace(lower(C663), ""_"", """")"),"saealterationskinintegrityresolvedate")</f>
        <v>saealterationskinintegrityresolvedate</v>
      </c>
      <c r="J663" s="192" t="b">
        <f t="shared" si="43"/>
        <v>1</v>
      </c>
      <c r="K663" s="192" t="str">
        <f>IFERROR(__xludf.DUMMYFUNCTION("regexreplace(G663, ""_"", """")"),"saealterationskinintegrityresolvedate")</f>
        <v>saealterationskinintegrityresolvedate</v>
      </c>
      <c r="L6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""$1$2"")"),"sae_alteration_skin_integrity_resolve_date")</f>
        <v>sae_alteration_skin_integrity_resolve_date</v>
      </c>
      <c r="M663" s="301"/>
      <c r="N663" s="61" t="s">
        <v>7778</v>
      </c>
      <c r="O663" s="301"/>
      <c r="P663" s="311"/>
      <c r="Q663" s="300" t="s">
        <v>2343</v>
      </c>
      <c r="R663" s="302"/>
      <c r="S663" s="302"/>
      <c r="T663" s="301"/>
      <c r="U663" s="301"/>
      <c r="V663" s="301"/>
      <c r="W663" s="301"/>
      <c r="X663" s="301"/>
      <c r="Y663" s="301"/>
      <c r="Z663" s="301"/>
    </row>
    <row r="664">
      <c r="A664" s="33"/>
      <c r="B664" s="298" t="s">
        <v>2162</v>
      </c>
      <c r="C664" s="299" t="s">
        <v>2344</v>
      </c>
      <c r="D664" s="299" t="s">
        <v>2189</v>
      </c>
      <c r="E664" s="300" t="s">
        <v>2345</v>
      </c>
      <c r="F664" s="123">
        <f t="shared" si="1"/>
        <v>2</v>
      </c>
      <c r="G664" s="121" t="s">
        <v>2346</v>
      </c>
      <c r="H664" s="12"/>
      <c r="I664" s="192" t="str">
        <f>IFERROR(__xludf.DUMMYFUNCTION("regexreplace(lower(C664), ""_"", """")"),"saealterationskinintegrityduetohypothermia")</f>
        <v>saealterationskinintegrityduetohypothermia</v>
      </c>
      <c r="J664" s="192" t="b">
        <f t="shared" si="43"/>
        <v>1</v>
      </c>
      <c r="K664" s="192" t="str">
        <f>IFERROR(__xludf.DUMMYFUNCTION("regexreplace(G664, ""_"", """")"),"saealterationskinintegrityduetohypothermia")</f>
        <v>saealterationskinintegrityduetohypothermia</v>
      </c>
      <c r="L6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""$1$2"")"),"sae_alteration_skin_integrity_due_to_hypothermia")</f>
        <v>sae_alteration_skin_integrity_due_to_hypothermia</v>
      </c>
      <c r="M664" s="301"/>
      <c r="N664" s="61" t="s">
        <v>7779</v>
      </c>
      <c r="O664" s="301"/>
      <c r="P664" s="300" t="s">
        <v>2347</v>
      </c>
      <c r="Q664" s="300" t="s">
        <v>2348</v>
      </c>
      <c r="R664" s="302"/>
      <c r="S664" s="302"/>
      <c r="T664" s="301"/>
      <c r="U664" s="301"/>
      <c r="V664" s="301"/>
      <c r="W664" s="301"/>
      <c r="X664" s="301"/>
      <c r="Y664" s="301"/>
      <c r="Z664" s="301"/>
    </row>
    <row r="665">
      <c r="A665" s="33"/>
      <c r="B665" s="298" t="s">
        <v>2162</v>
      </c>
      <c r="C665" s="299" t="s">
        <v>2349</v>
      </c>
      <c r="D665" s="299" t="s">
        <v>2195</v>
      </c>
      <c r="E665" s="300" t="s">
        <v>2350</v>
      </c>
      <c r="F665" s="123">
        <f t="shared" si="1"/>
        <v>2</v>
      </c>
      <c r="G665" s="121" t="s">
        <v>2351</v>
      </c>
      <c r="H665" s="12"/>
      <c r="I665" s="192" t="str">
        <f>IFERROR(__xludf.DUMMYFUNCTION("regexreplace(lower(C665), ""_"", """")"),"saealterationskinintegrityactiontaken")</f>
        <v>saealterationskinintegrityactiontaken</v>
      </c>
      <c r="J665" s="192" t="b">
        <f t="shared" si="43"/>
        <v>1</v>
      </c>
      <c r="K665" s="192" t="str">
        <f>IFERROR(__xludf.DUMMYFUNCTION("regexreplace(G665, ""_"", """")"),"saealterationskinintegrityactiontaken")</f>
        <v>saealterationskinintegrityactiontaken</v>
      </c>
      <c r="L6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""$1$2"")"),"sae_alteration_skin_integrity_action_taken")</f>
        <v>sae_alteration_skin_integrity_action_taken</v>
      </c>
      <c r="M665" s="301"/>
      <c r="N665" s="61" t="s">
        <v>7780</v>
      </c>
      <c r="O665" s="301"/>
      <c r="P665" s="300" t="s">
        <v>2352</v>
      </c>
      <c r="Q665" s="300" t="s">
        <v>2353</v>
      </c>
      <c r="R665" s="302"/>
      <c r="S665" s="302"/>
      <c r="T665" s="301"/>
      <c r="U665" s="301"/>
      <c r="V665" s="301"/>
      <c r="W665" s="301"/>
      <c r="X665" s="301"/>
      <c r="Y665" s="301"/>
      <c r="Z665" s="301"/>
    </row>
    <row r="666">
      <c r="A666" s="33"/>
      <c r="B666" s="298" t="s">
        <v>2162</v>
      </c>
      <c r="C666" s="299" t="s">
        <v>2354</v>
      </c>
      <c r="D666" s="299" t="s">
        <v>2201</v>
      </c>
      <c r="E666" s="300" t="s">
        <v>2355</v>
      </c>
      <c r="F666" s="123">
        <f t="shared" si="1"/>
        <v>2</v>
      </c>
      <c r="G666" s="121" t="s">
        <v>2356</v>
      </c>
      <c r="H666" s="12"/>
      <c r="I666" s="192" t="str">
        <f>IFERROR(__xludf.DUMMYFUNCTION("regexreplace(lower(C666), ""_"", """")"),"saealterationskinintegrityoutcome")</f>
        <v>saealterationskinintegrityoutcome</v>
      </c>
      <c r="J666" s="192" t="b">
        <f t="shared" si="43"/>
        <v>1</v>
      </c>
      <c r="K666" s="192" t="str">
        <f>IFERROR(__xludf.DUMMYFUNCTION("regexreplace(G666, ""_"", """")"),"saealterationskinintegrityoutcome")</f>
        <v>saealterationskinintegrityoutcome</v>
      </c>
      <c r="L6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""$1$2"")"),"sae_alteration_skin_integrity_outcome")</f>
        <v>sae_alteration_skin_integrity_outcome</v>
      </c>
      <c r="M666" s="301"/>
      <c r="N666" s="61" t="s">
        <v>7781</v>
      </c>
      <c r="O666" s="301"/>
      <c r="P666" s="300" t="s">
        <v>2357</v>
      </c>
      <c r="Q666" s="300" t="s">
        <v>2358</v>
      </c>
      <c r="R666" s="302"/>
      <c r="S666" s="302"/>
      <c r="T666" s="301"/>
      <c r="U666" s="301"/>
      <c r="V666" s="301"/>
      <c r="W666" s="301"/>
      <c r="X666" s="301"/>
      <c r="Y666" s="301"/>
      <c r="Z666" s="301"/>
    </row>
    <row r="667">
      <c r="A667" s="33"/>
      <c r="B667" s="298" t="s">
        <v>2162</v>
      </c>
      <c r="C667" s="299" t="s">
        <v>2359</v>
      </c>
      <c r="D667" s="299" t="s">
        <v>16</v>
      </c>
      <c r="E667" s="300" t="s">
        <v>2360</v>
      </c>
      <c r="F667" s="123">
        <f t="shared" si="1"/>
        <v>2</v>
      </c>
      <c r="G667" s="121" t="s">
        <v>2361</v>
      </c>
      <c r="H667" s="12"/>
      <c r="I667" s="192" t="str">
        <f>IFERROR(__xludf.DUMMYFUNCTION("regexreplace(lower(C667), ""_"", """")"),"saealterationskinintegritycomment")</f>
        <v>saealterationskinintegritycomment</v>
      </c>
      <c r="J667" s="192" t="b">
        <f t="shared" si="43"/>
        <v>1</v>
      </c>
      <c r="K667" s="192" t="str">
        <f>IFERROR(__xludf.DUMMYFUNCTION("regexreplace(G667, ""_"", """")"),"saealterationskinintegritycomment")</f>
        <v>saealterationskinintegritycomment</v>
      </c>
      <c r="L6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""$1$2"")"),"sae_alteration_skin_integrity_comment")</f>
        <v>sae_alteration_skin_integrity_comment</v>
      </c>
      <c r="M667" s="301"/>
      <c r="N667" s="61" t="s">
        <v>7782</v>
      </c>
      <c r="O667" s="301"/>
      <c r="P667" s="300" t="s">
        <v>2362</v>
      </c>
      <c r="Q667" s="300" t="s">
        <v>2363</v>
      </c>
      <c r="R667" s="302"/>
      <c r="S667" s="302"/>
      <c r="T667" s="301"/>
      <c r="U667" s="301"/>
      <c r="V667" s="301"/>
      <c r="W667" s="301"/>
      <c r="X667" s="301"/>
      <c r="Y667" s="301"/>
      <c r="Z667" s="301"/>
    </row>
    <row r="668">
      <c r="A668" s="33"/>
      <c r="B668" s="298" t="s">
        <v>2162</v>
      </c>
      <c r="C668" s="299" t="s">
        <v>7803</v>
      </c>
      <c r="D668" s="299" t="s">
        <v>40</v>
      </c>
      <c r="E668" s="310"/>
      <c r="F668" s="123">
        <f t="shared" si="1"/>
        <v>1</v>
      </c>
      <c r="G668" s="121"/>
      <c r="H668" s="12"/>
      <c r="I668" s="192"/>
      <c r="J668" s="192"/>
      <c r="K668" s="192"/>
      <c r="L668" s="121"/>
      <c r="M668" s="301"/>
      <c r="N668" s="61"/>
      <c r="O668" s="309" t="s">
        <v>7804</v>
      </c>
      <c r="P668" s="300"/>
      <c r="Q668" s="300"/>
      <c r="R668" s="302"/>
      <c r="S668" s="302"/>
      <c r="T668" s="301"/>
      <c r="U668" s="301"/>
      <c r="V668" s="301"/>
      <c r="W668" s="301"/>
      <c r="X668" s="301"/>
      <c r="Y668" s="301"/>
      <c r="Z668" s="301"/>
    </row>
    <row r="669">
      <c r="A669" s="33"/>
      <c r="B669" s="298" t="s">
        <v>2162</v>
      </c>
      <c r="C669" s="299" t="s">
        <v>2364</v>
      </c>
      <c r="D669" s="299" t="s">
        <v>26</v>
      </c>
      <c r="E669" s="310" t="s">
        <v>2365</v>
      </c>
      <c r="F669" s="123">
        <f t="shared" si="1"/>
        <v>3</v>
      </c>
      <c r="G669" s="121" t="s">
        <v>2366</v>
      </c>
      <c r="H669" s="12"/>
      <c r="I669" s="192" t="str">
        <f>IFERROR(__xludf.DUMMYFUNCTION("regexreplace(lower(C669), ""_"", """")"),"saedeathdate")</f>
        <v>saedeathdate</v>
      </c>
      <c r="J669" s="192" t="b">
        <f t="shared" ref="J669:J674" si="44">exact(I669, K669)</f>
        <v>1</v>
      </c>
      <c r="K669" s="192" t="str">
        <f>IFERROR(__xludf.DUMMYFUNCTION("regexreplace(G669, ""_"", """")"),"saedeathdate")</f>
        <v>saedeathdate</v>
      </c>
      <c r="L6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""$1$2"")"),"sae_death_date")</f>
        <v>sae_death_date</v>
      </c>
      <c r="M669" s="301"/>
      <c r="N669" s="61" t="s">
        <v>7776</v>
      </c>
      <c r="O669" s="309" t="s">
        <v>7805</v>
      </c>
      <c r="P669" s="300" t="s">
        <v>2367</v>
      </c>
      <c r="Q669" s="300" t="s">
        <v>2368</v>
      </c>
      <c r="R669" s="302"/>
      <c r="S669" s="302"/>
      <c r="T669" s="301"/>
      <c r="U669" s="301"/>
      <c r="V669" s="301"/>
      <c r="W669" s="301"/>
      <c r="X669" s="301"/>
      <c r="Y669" s="301"/>
      <c r="Z669" s="301"/>
    </row>
    <row r="670">
      <c r="A670" s="33"/>
      <c r="B670" s="298" t="s">
        <v>2162</v>
      </c>
      <c r="C670" s="299" t="s">
        <v>2369</v>
      </c>
      <c r="D670" s="299" t="s">
        <v>145</v>
      </c>
      <c r="E670" s="310" t="s">
        <v>2370</v>
      </c>
      <c r="F670" s="123">
        <f t="shared" si="1"/>
        <v>2</v>
      </c>
      <c r="G670" s="121" t="s">
        <v>2371</v>
      </c>
      <c r="H670" s="12"/>
      <c r="I670" s="192" t="str">
        <f>IFERROR(__xludf.DUMMYFUNCTION("regexreplace(lower(C670), ""_"", """")"),"saedeathtime")</f>
        <v>saedeathtime</v>
      </c>
      <c r="J670" s="192" t="b">
        <f t="shared" si="44"/>
        <v>1</v>
      </c>
      <c r="K670" s="192" t="str">
        <f>IFERROR(__xludf.DUMMYFUNCTION("regexreplace(G670, ""_"", """")"),"saedeathtime")</f>
        <v>saedeathtime</v>
      </c>
      <c r="L6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""$1$2"")"),"sae_death_time")</f>
        <v>sae_death_time</v>
      </c>
      <c r="M670" s="301"/>
      <c r="N670" s="300"/>
      <c r="O670" s="301"/>
      <c r="P670" s="300" t="s">
        <v>2372</v>
      </c>
      <c r="Q670" s="300" t="s">
        <v>2373</v>
      </c>
      <c r="R670" s="302"/>
      <c r="S670" s="302"/>
      <c r="T670" s="301"/>
      <c r="U670" s="301"/>
      <c r="V670" s="301"/>
      <c r="W670" s="301"/>
      <c r="X670" s="301"/>
      <c r="Y670" s="301"/>
      <c r="Z670" s="301"/>
    </row>
    <row r="671">
      <c r="A671" s="33"/>
      <c r="B671" s="298" t="s">
        <v>2162</v>
      </c>
      <c r="C671" s="299" t="s">
        <v>2374</v>
      </c>
      <c r="D671" s="299" t="s">
        <v>2189</v>
      </c>
      <c r="E671" s="300" t="s">
        <v>2375</v>
      </c>
      <c r="F671" s="123">
        <f t="shared" si="1"/>
        <v>2</v>
      </c>
      <c r="G671" s="121" t="s">
        <v>2376</v>
      </c>
      <c r="H671" s="12"/>
      <c r="I671" s="192" t="str">
        <f>IFERROR(__xludf.DUMMYFUNCTION("regexreplace(lower(C671), ""_"", """")"),"saedeathduetohypothermia")</f>
        <v>saedeathduetohypothermia</v>
      </c>
      <c r="J671" s="192" t="b">
        <f t="shared" si="44"/>
        <v>1</v>
      </c>
      <c r="K671" s="192" t="str">
        <f>IFERROR(__xludf.DUMMYFUNCTION("regexreplace(G671, ""_"", """")"),"saedeathduetohypothermia")</f>
        <v>saedeathduetohypothermia</v>
      </c>
      <c r="L6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""$1$2"")"),"sae_death_due_to_hypothermia")</f>
        <v>sae_death_due_to_hypothermia</v>
      </c>
      <c r="M671" s="301"/>
      <c r="N671" s="61" t="s">
        <v>7779</v>
      </c>
      <c r="O671" s="301"/>
      <c r="P671" s="300" t="s">
        <v>2377</v>
      </c>
      <c r="Q671" s="300" t="s">
        <v>2378</v>
      </c>
      <c r="R671" s="302"/>
      <c r="S671" s="302"/>
      <c r="T671" s="301"/>
      <c r="U671" s="301"/>
      <c r="V671" s="301"/>
      <c r="W671" s="301"/>
      <c r="X671" s="301"/>
      <c r="Y671" s="301"/>
      <c r="Z671" s="301"/>
    </row>
    <row r="672">
      <c r="A672" s="33"/>
      <c r="B672" s="298" t="s">
        <v>2162</v>
      </c>
      <c r="C672" s="299" t="s">
        <v>2379</v>
      </c>
      <c r="D672" s="299" t="s">
        <v>2195</v>
      </c>
      <c r="E672" s="300" t="s">
        <v>2380</v>
      </c>
      <c r="F672" s="123">
        <f t="shared" si="1"/>
        <v>2</v>
      </c>
      <c r="G672" s="121" t="s">
        <v>2381</v>
      </c>
      <c r="H672" s="12"/>
      <c r="I672" s="192" t="str">
        <f>IFERROR(__xludf.DUMMYFUNCTION("regexreplace(lower(C672), ""_"", """")"),"saedeathactiontaken")</f>
        <v>saedeathactiontaken</v>
      </c>
      <c r="J672" s="192" t="b">
        <f t="shared" si="44"/>
        <v>1</v>
      </c>
      <c r="K672" s="192" t="str">
        <f>IFERROR(__xludf.DUMMYFUNCTION("regexreplace(G672, ""_"", """")"),"saedeathactiontaken")</f>
        <v>saedeathactiontaken</v>
      </c>
      <c r="L6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""$1$2"")"),"sae_death_action_taken")</f>
        <v>sae_death_action_taken</v>
      </c>
      <c r="M672" s="301"/>
      <c r="N672" s="61" t="s">
        <v>7780</v>
      </c>
      <c r="O672" s="301"/>
      <c r="P672" s="300" t="s">
        <v>2382</v>
      </c>
      <c r="Q672" s="300" t="s">
        <v>2383</v>
      </c>
      <c r="R672" s="302"/>
      <c r="S672" s="302"/>
      <c r="T672" s="301"/>
      <c r="U672" s="301"/>
      <c r="V672" s="301"/>
      <c r="W672" s="301"/>
      <c r="X672" s="301"/>
      <c r="Y672" s="301"/>
      <c r="Z672" s="301"/>
    </row>
    <row r="673">
      <c r="A673" s="33"/>
      <c r="B673" s="298" t="s">
        <v>2162</v>
      </c>
      <c r="C673" s="299" t="s">
        <v>2384</v>
      </c>
      <c r="D673" s="299" t="s">
        <v>2201</v>
      </c>
      <c r="E673" s="300" t="s">
        <v>2385</v>
      </c>
      <c r="F673" s="123">
        <f t="shared" si="1"/>
        <v>2</v>
      </c>
      <c r="G673" s="121" t="s">
        <v>2386</v>
      </c>
      <c r="H673" s="12"/>
      <c r="I673" s="192" t="str">
        <f>IFERROR(__xludf.DUMMYFUNCTION("regexreplace(lower(C673), ""_"", """")"),"saedeathoutcome")</f>
        <v>saedeathoutcome</v>
      </c>
      <c r="J673" s="192" t="b">
        <f t="shared" si="44"/>
        <v>1</v>
      </c>
      <c r="K673" s="192" t="str">
        <f>IFERROR(__xludf.DUMMYFUNCTION("regexreplace(G673, ""_"", """")"),"saedeathoutcome")</f>
        <v>saedeathoutcome</v>
      </c>
      <c r="L6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""$1$2"")"),"sae_death_outcome")</f>
        <v>sae_death_outcome</v>
      </c>
      <c r="M673" s="301"/>
      <c r="N673" s="61" t="s">
        <v>7781</v>
      </c>
      <c r="O673" s="301"/>
      <c r="P673" s="300" t="s">
        <v>2387</v>
      </c>
      <c r="Q673" s="300" t="s">
        <v>2388</v>
      </c>
      <c r="R673" s="302"/>
      <c r="S673" s="302"/>
      <c r="T673" s="301"/>
      <c r="U673" s="301"/>
      <c r="V673" s="301"/>
      <c r="W673" s="301"/>
      <c r="X673" s="301"/>
      <c r="Y673" s="301"/>
      <c r="Z673" s="301"/>
    </row>
    <row r="674">
      <c r="A674" s="33"/>
      <c r="B674" s="298" t="s">
        <v>2162</v>
      </c>
      <c r="C674" s="299" t="s">
        <v>2389</v>
      </c>
      <c r="D674" s="299" t="s">
        <v>16</v>
      </c>
      <c r="E674" s="300" t="s">
        <v>2390</v>
      </c>
      <c r="F674" s="123">
        <f t="shared" si="1"/>
        <v>2</v>
      </c>
      <c r="G674" s="121" t="s">
        <v>2391</v>
      </c>
      <c r="H674" s="12"/>
      <c r="I674" s="192" t="str">
        <f>IFERROR(__xludf.DUMMYFUNCTION("regexreplace(lower(C674), ""_"", """")"),"saedeathcomment")</f>
        <v>saedeathcomment</v>
      </c>
      <c r="J674" s="192" t="b">
        <f t="shared" si="44"/>
        <v>1</v>
      </c>
      <c r="K674" s="192" t="str">
        <f>IFERROR(__xludf.DUMMYFUNCTION("regexreplace(G674, ""_"", """")"),"saedeathcomment")</f>
        <v>saedeathcomment</v>
      </c>
      <c r="L6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""$1$2"")"),"sae_death_comment")</f>
        <v>sae_death_comment</v>
      </c>
      <c r="M674" s="301"/>
      <c r="N674" s="61" t="s">
        <v>7782</v>
      </c>
      <c r="O674" s="301"/>
      <c r="P674" s="300" t="s">
        <v>2392</v>
      </c>
      <c r="Q674" s="300" t="s">
        <v>2393</v>
      </c>
      <c r="R674" s="302"/>
      <c r="S674" s="302"/>
      <c r="T674" s="301"/>
      <c r="U674" s="301"/>
      <c r="V674" s="301"/>
      <c r="W674" s="301"/>
      <c r="X674" s="301"/>
      <c r="Y674" s="301"/>
      <c r="Z674" s="301"/>
    </row>
    <row r="675">
      <c r="A675" s="33"/>
      <c r="B675" s="298" t="s">
        <v>2162</v>
      </c>
      <c r="C675" s="299" t="s">
        <v>7806</v>
      </c>
      <c r="D675" s="299" t="s">
        <v>40</v>
      </c>
      <c r="E675" s="300"/>
      <c r="F675" s="123">
        <f t="shared" si="1"/>
        <v>1</v>
      </c>
      <c r="G675" s="121"/>
      <c r="H675" s="12"/>
      <c r="I675" s="192"/>
      <c r="J675" s="192"/>
      <c r="K675" s="192"/>
      <c r="L675" s="121"/>
      <c r="M675" s="301"/>
      <c r="N675" s="300"/>
      <c r="O675" s="309" t="s">
        <v>7807</v>
      </c>
      <c r="P675" s="300"/>
      <c r="Q675" s="300"/>
      <c r="R675" s="302"/>
      <c r="S675" s="302"/>
      <c r="T675" s="301"/>
      <c r="U675" s="301"/>
      <c r="V675" s="301"/>
      <c r="W675" s="301"/>
      <c r="X675" s="301"/>
      <c r="Y675" s="301"/>
      <c r="Z675" s="301"/>
    </row>
    <row r="676">
      <c r="A676" s="33"/>
      <c r="B676" s="298" t="s">
        <v>2162</v>
      </c>
      <c r="C676" s="299" t="s">
        <v>2394</v>
      </c>
      <c r="D676" s="299" t="s">
        <v>16</v>
      </c>
      <c r="E676" s="300" t="s">
        <v>2395</v>
      </c>
      <c r="F676" s="123">
        <f t="shared" si="1"/>
        <v>3</v>
      </c>
      <c r="G676" s="121" t="s">
        <v>2396</v>
      </c>
      <c r="H676" s="12"/>
      <c r="I676" s="192" t="str">
        <f>IFERROR(__xludf.DUMMYFUNCTION("regexreplace(lower(C676), ""_"", """")"),"saeother")</f>
        <v>saeother</v>
      </c>
      <c r="J676" s="192" t="b">
        <f t="shared" ref="J676:J684" si="45">exact(I676, K676)</f>
        <v>1</v>
      </c>
      <c r="K676" s="192" t="str">
        <f>IFERROR(__xludf.DUMMYFUNCTION("regexreplace(G676, ""_"", """")"),"saeother")</f>
        <v>saeother</v>
      </c>
      <c r="L6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""$1$2"")"),"sae_other")</f>
        <v>sae_other</v>
      </c>
      <c r="M676" s="301"/>
      <c r="N676" s="300"/>
      <c r="O676" s="309" t="s">
        <v>7808</v>
      </c>
      <c r="P676" s="300" t="s">
        <v>2397</v>
      </c>
      <c r="Q676" s="300" t="s">
        <v>2398</v>
      </c>
      <c r="R676" s="302"/>
      <c r="S676" s="302"/>
      <c r="T676" s="301"/>
      <c r="U676" s="301"/>
      <c r="V676" s="301"/>
      <c r="W676" s="301"/>
      <c r="X676" s="301"/>
      <c r="Y676" s="301"/>
      <c r="Z676" s="301"/>
    </row>
    <row r="677">
      <c r="A677" s="33"/>
      <c r="B677" s="298" t="s">
        <v>2162</v>
      </c>
      <c r="C677" s="299" t="s">
        <v>2399</v>
      </c>
      <c r="D677" s="299" t="s">
        <v>26</v>
      </c>
      <c r="E677" s="300" t="s">
        <v>2400</v>
      </c>
      <c r="F677" s="123">
        <f t="shared" si="1"/>
        <v>3</v>
      </c>
      <c r="G677" s="121" t="s">
        <v>2401</v>
      </c>
      <c r="H677" s="12"/>
      <c r="I677" s="192" t="str">
        <f>IFERROR(__xludf.DUMMYFUNCTION("regexreplace(lower(C677), ""_"", """")"),"saeotheronsetdate")</f>
        <v>saeotheronsetdate</v>
      </c>
      <c r="J677" s="192" t="b">
        <f t="shared" si="45"/>
        <v>1</v>
      </c>
      <c r="K677" s="192" t="str">
        <f>IFERROR(__xludf.DUMMYFUNCTION("regexreplace(G677, ""_"", """")"),"saeotheronsetdate")</f>
        <v>saeotheronsetdate</v>
      </c>
      <c r="L6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""$1$2"")"),"sae_other_onset_date")</f>
        <v>sae_other_onset_date</v>
      </c>
      <c r="M677" s="301"/>
      <c r="N677" s="61" t="s">
        <v>7776</v>
      </c>
      <c r="O677" s="309" t="s">
        <v>7809</v>
      </c>
      <c r="P677" s="300" t="s">
        <v>2402</v>
      </c>
      <c r="Q677" s="300" t="s">
        <v>2403</v>
      </c>
      <c r="R677" s="302"/>
      <c r="S677" s="302"/>
      <c r="T677" s="301"/>
      <c r="U677" s="301"/>
      <c r="V677" s="301"/>
      <c r="W677" s="301"/>
      <c r="X677" s="301"/>
      <c r="Y677" s="301"/>
      <c r="Z677" s="301"/>
    </row>
    <row r="678">
      <c r="A678" s="33"/>
      <c r="B678" s="298" t="s">
        <v>2162</v>
      </c>
      <c r="C678" s="299" t="s">
        <v>2404</v>
      </c>
      <c r="D678" s="299" t="s">
        <v>145</v>
      </c>
      <c r="E678" s="300" t="s">
        <v>2405</v>
      </c>
      <c r="F678" s="123">
        <f t="shared" si="1"/>
        <v>2</v>
      </c>
      <c r="G678" s="121" t="s">
        <v>2406</v>
      </c>
      <c r="H678" s="12"/>
      <c r="I678" s="192" t="str">
        <f>IFERROR(__xludf.DUMMYFUNCTION("regexreplace(lower(C678), ""_"", """")"),"saeotheronsettime")</f>
        <v>saeotheronsettime</v>
      </c>
      <c r="J678" s="192" t="b">
        <f t="shared" si="45"/>
        <v>1</v>
      </c>
      <c r="K678" s="192" t="str">
        <f>IFERROR(__xludf.DUMMYFUNCTION("regexreplace(G678, ""_"", """")"),"saeotheronsettime")</f>
        <v>saeotheronsettime</v>
      </c>
      <c r="L6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""$1$2"")"),"sae_other_onset_time")</f>
        <v>sae_other_onset_time</v>
      </c>
      <c r="M678" s="301"/>
      <c r="N678" s="300"/>
      <c r="O678" s="301"/>
      <c r="P678" s="300" t="s">
        <v>2407</v>
      </c>
      <c r="Q678" s="300" t="s">
        <v>2408</v>
      </c>
      <c r="R678" s="302"/>
      <c r="S678" s="302"/>
      <c r="T678" s="301"/>
      <c r="U678" s="301"/>
      <c r="V678" s="301"/>
      <c r="W678" s="301"/>
      <c r="X678" s="301"/>
      <c r="Y678" s="301"/>
      <c r="Z678" s="301"/>
    </row>
    <row r="679">
      <c r="A679" s="33"/>
      <c r="B679" s="298" t="s">
        <v>2162</v>
      </c>
      <c r="C679" s="299" t="s">
        <v>2409</v>
      </c>
      <c r="D679" s="299" t="s">
        <v>26</v>
      </c>
      <c r="E679" s="300" t="s">
        <v>2410</v>
      </c>
      <c r="F679" s="123">
        <f t="shared" si="1"/>
        <v>2</v>
      </c>
      <c r="G679" s="121" t="s">
        <v>2411</v>
      </c>
      <c r="H679" s="12"/>
      <c r="I679" s="192" t="str">
        <f>IFERROR(__xludf.DUMMYFUNCTION("regexreplace(lower(C679), ""_"", """")"),"saeotherresolvedate")</f>
        <v>saeotherresolvedate</v>
      </c>
      <c r="J679" s="192" t="b">
        <f t="shared" si="45"/>
        <v>1</v>
      </c>
      <c r="K679" s="192" t="str">
        <f>IFERROR(__xludf.DUMMYFUNCTION("regexreplace(G679, ""_"", """")"),"saeotherresolvedate")</f>
        <v>saeotherresolvedate</v>
      </c>
      <c r="L6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""$1$2"")"),"sae_other_resolve_date")</f>
        <v>sae_other_resolve_date</v>
      </c>
      <c r="M679" s="301"/>
      <c r="N679" s="61" t="s">
        <v>7778</v>
      </c>
      <c r="O679" s="301"/>
      <c r="P679" s="300" t="s">
        <v>2412</v>
      </c>
      <c r="Q679" s="300" t="s">
        <v>2413</v>
      </c>
      <c r="R679" s="302"/>
      <c r="S679" s="302"/>
      <c r="T679" s="301"/>
      <c r="U679" s="301"/>
      <c r="V679" s="301"/>
      <c r="W679" s="301"/>
      <c r="X679" s="301"/>
      <c r="Y679" s="301"/>
      <c r="Z679" s="301"/>
    </row>
    <row r="680">
      <c r="A680" s="33"/>
      <c r="B680" s="298" t="s">
        <v>2162</v>
      </c>
      <c r="C680" s="299" t="s">
        <v>2414</v>
      </c>
      <c r="D680" s="299" t="s">
        <v>145</v>
      </c>
      <c r="E680" s="300" t="s">
        <v>2415</v>
      </c>
      <c r="F680" s="123">
        <f t="shared" si="1"/>
        <v>2</v>
      </c>
      <c r="G680" s="121" t="s">
        <v>2416</v>
      </c>
      <c r="H680" s="12"/>
      <c r="I680" s="192" t="str">
        <f>IFERROR(__xludf.DUMMYFUNCTION("regexreplace(lower(C680), ""_"", """")"),"saeotherresolvetime")</f>
        <v>saeotherresolvetime</v>
      </c>
      <c r="J680" s="192" t="b">
        <f t="shared" si="45"/>
        <v>1</v>
      </c>
      <c r="K680" s="192" t="str">
        <f>IFERROR(__xludf.DUMMYFUNCTION("regexreplace(G680, ""_"", """")"),"saeotherresolvetime")</f>
        <v>saeotherresolvetime</v>
      </c>
      <c r="L6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""$1$2"")"),"sae_other_resolve_time")</f>
        <v>sae_other_resolve_time</v>
      </c>
      <c r="M680" s="301"/>
      <c r="N680" s="300"/>
      <c r="O680" s="301"/>
      <c r="P680" s="300" t="s">
        <v>2417</v>
      </c>
      <c r="Q680" s="300" t="s">
        <v>2418</v>
      </c>
      <c r="R680" s="302"/>
      <c r="S680" s="302"/>
      <c r="T680" s="301"/>
      <c r="U680" s="301"/>
      <c r="V680" s="301"/>
      <c r="W680" s="301"/>
      <c r="X680" s="301"/>
      <c r="Y680" s="301"/>
      <c r="Z680" s="301"/>
    </row>
    <row r="681">
      <c r="A681" s="33"/>
      <c r="B681" s="298" t="s">
        <v>2162</v>
      </c>
      <c r="C681" s="299" t="s">
        <v>2419</v>
      </c>
      <c r="D681" s="299" t="s">
        <v>2189</v>
      </c>
      <c r="E681" s="300" t="s">
        <v>2420</v>
      </c>
      <c r="F681" s="123">
        <f t="shared" si="1"/>
        <v>2</v>
      </c>
      <c r="G681" s="121" t="s">
        <v>2421</v>
      </c>
      <c r="H681" s="12"/>
      <c r="I681" s="192" t="str">
        <f>IFERROR(__xludf.DUMMYFUNCTION("regexreplace(lower(C681), ""_"", """")"),"saeotherduetohypothermia")</f>
        <v>saeotherduetohypothermia</v>
      </c>
      <c r="J681" s="192" t="b">
        <f t="shared" si="45"/>
        <v>1</v>
      </c>
      <c r="K681" s="192" t="str">
        <f>IFERROR(__xludf.DUMMYFUNCTION("regexreplace(G681, ""_"", """")"),"saeotherduetohypothermia")</f>
        <v>saeotherduetohypothermia</v>
      </c>
      <c r="L6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""$1$2"")"),"sae_other_due_to_hypothermia")</f>
        <v>sae_other_due_to_hypothermia</v>
      </c>
      <c r="M681" s="301"/>
      <c r="N681" s="61" t="s">
        <v>7779</v>
      </c>
      <c r="O681" s="301"/>
      <c r="P681" s="300" t="s">
        <v>2422</v>
      </c>
      <c r="Q681" s="300" t="s">
        <v>2423</v>
      </c>
      <c r="R681" s="302"/>
      <c r="S681" s="302"/>
      <c r="T681" s="301"/>
      <c r="U681" s="301"/>
      <c r="V681" s="301"/>
      <c r="W681" s="301"/>
      <c r="X681" s="301"/>
      <c r="Y681" s="301"/>
      <c r="Z681" s="301"/>
    </row>
    <row r="682">
      <c r="A682" s="33"/>
      <c r="B682" s="298" t="s">
        <v>2162</v>
      </c>
      <c r="C682" s="299" t="s">
        <v>2424</v>
      </c>
      <c r="D682" s="299" t="s">
        <v>2195</v>
      </c>
      <c r="E682" s="300" t="s">
        <v>2425</v>
      </c>
      <c r="F682" s="123">
        <f t="shared" si="1"/>
        <v>2</v>
      </c>
      <c r="G682" s="121" t="s">
        <v>2426</v>
      </c>
      <c r="H682" s="12"/>
      <c r="I682" s="192" t="str">
        <f>IFERROR(__xludf.DUMMYFUNCTION("regexreplace(lower(C682), ""_"", """")"),"saeotheractiontaken")</f>
        <v>saeotheractiontaken</v>
      </c>
      <c r="J682" s="192" t="b">
        <f t="shared" si="45"/>
        <v>1</v>
      </c>
      <c r="K682" s="192" t="str">
        <f>IFERROR(__xludf.DUMMYFUNCTION("regexreplace(G682, ""_"", """")"),"saeotheractiontaken")</f>
        <v>saeotheractiontaken</v>
      </c>
      <c r="L6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""$1$2"")"),"sae_other_action_taken")</f>
        <v>sae_other_action_taken</v>
      </c>
      <c r="M682" s="301"/>
      <c r="N682" s="61" t="s">
        <v>7780</v>
      </c>
      <c r="O682" s="301"/>
      <c r="P682" s="300" t="s">
        <v>2427</v>
      </c>
      <c r="Q682" s="300" t="s">
        <v>2428</v>
      </c>
      <c r="R682" s="302"/>
      <c r="S682" s="302"/>
      <c r="T682" s="301"/>
      <c r="U682" s="301"/>
      <c r="V682" s="301"/>
      <c r="W682" s="301"/>
      <c r="X682" s="301"/>
      <c r="Y682" s="301"/>
      <c r="Z682" s="301"/>
    </row>
    <row r="683">
      <c r="A683" s="33"/>
      <c r="B683" s="298" t="s">
        <v>2162</v>
      </c>
      <c r="C683" s="299" t="s">
        <v>2429</v>
      </c>
      <c r="D683" s="299" t="s">
        <v>2201</v>
      </c>
      <c r="E683" s="300" t="s">
        <v>2430</v>
      </c>
      <c r="F683" s="123">
        <f t="shared" si="1"/>
        <v>2</v>
      </c>
      <c r="G683" s="121" t="s">
        <v>2431</v>
      </c>
      <c r="H683" s="12"/>
      <c r="I683" s="192" t="str">
        <f>IFERROR(__xludf.DUMMYFUNCTION("regexreplace(lower(C683), ""_"", """")"),"saeotheroutcome")</f>
        <v>saeotheroutcome</v>
      </c>
      <c r="J683" s="192" t="b">
        <f t="shared" si="45"/>
        <v>1</v>
      </c>
      <c r="K683" s="192" t="str">
        <f>IFERROR(__xludf.DUMMYFUNCTION("regexreplace(G683, ""_"", """")"),"saeotheroutcome")</f>
        <v>saeotheroutcome</v>
      </c>
      <c r="L6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""$1$2"")"),"sae_other_outcome")</f>
        <v>sae_other_outcome</v>
      </c>
      <c r="M683" s="301"/>
      <c r="N683" s="61" t="s">
        <v>7781</v>
      </c>
      <c r="O683" s="301"/>
      <c r="P683" s="300" t="s">
        <v>2432</v>
      </c>
      <c r="Q683" s="300" t="s">
        <v>2433</v>
      </c>
      <c r="R683" s="302"/>
      <c r="S683" s="302"/>
      <c r="T683" s="301"/>
      <c r="U683" s="301"/>
      <c r="V683" s="301"/>
      <c r="W683" s="301"/>
      <c r="X683" s="301"/>
      <c r="Y683" s="301"/>
      <c r="Z683" s="301"/>
    </row>
    <row r="684">
      <c r="A684" s="33"/>
      <c r="B684" s="298" t="s">
        <v>2162</v>
      </c>
      <c r="C684" s="299" t="s">
        <v>2434</v>
      </c>
      <c r="D684" s="299" t="s">
        <v>16</v>
      </c>
      <c r="E684" s="300" t="s">
        <v>2435</v>
      </c>
      <c r="F684" s="123">
        <f t="shared" si="1"/>
        <v>2</v>
      </c>
      <c r="G684" s="121" t="s">
        <v>2436</v>
      </c>
      <c r="H684" s="12"/>
      <c r="I684" s="192" t="str">
        <f>IFERROR(__xludf.DUMMYFUNCTION("regexreplace(lower(C684), ""_"", """")"),"saeothercomment")</f>
        <v>saeothercomment</v>
      </c>
      <c r="J684" s="192" t="b">
        <f t="shared" si="45"/>
        <v>1</v>
      </c>
      <c r="K684" s="192" t="str">
        <f>IFERROR(__xludf.DUMMYFUNCTION("regexreplace(G684, ""_"", """")"),"saeothercomment")</f>
        <v>saeothercomment</v>
      </c>
      <c r="L6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""$1$2"")"),"sae_other_comment")</f>
        <v>sae_other_comment</v>
      </c>
      <c r="M684" s="301"/>
      <c r="N684" s="61" t="s">
        <v>7782</v>
      </c>
      <c r="O684" s="301"/>
      <c r="P684" s="300" t="s">
        <v>2437</v>
      </c>
      <c r="Q684" s="300" t="s">
        <v>2438</v>
      </c>
      <c r="R684" s="302"/>
      <c r="S684" s="302"/>
      <c r="T684" s="301"/>
      <c r="U684" s="301"/>
      <c r="V684" s="301"/>
      <c r="W684" s="301"/>
      <c r="X684" s="301"/>
      <c r="Y684" s="301"/>
      <c r="Z684" s="301"/>
    </row>
    <row r="685">
      <c r="A685" s="33"/>
      <c r="B685" s="298" t="s">
        <v>2162</v>
      </c>
      <c r="C685" s="299" t="s">
        <v>7810</v>
      </c>
      <c r="D685" s="299" t="s">
        <v>40</v>
      </c>
      <c r="E685" s="300"/>
      <c r="F685" s="123">
        <f t="shared" si="1"/>
        <v>1</v>
      </c>
      <c r="G685" s="121"/>
      <c r="H685" s="12"/>
      <c r="I685" s="192"/>
      <c r="J685" s="192"/>
      <c r="K685" s="192"/>
      <c r="L685" s="121"/>
      <c r="M685" s="301"/>
      <c r="N685" s="61"/>
      <c r="O685" s="309" t="s">
        <v>7811</v>
      </c>
      <c r="P685" s="300"/>
      <c r="Q685" s="300"/>
      <c r="R685" s="302"/>
      <c r="S685" s="302"/>
      <c r="T685" s="301"/>
      <c r="U685" s="301"/>
      <c r="V685" s="301"/>
      <c r="W685" s="301"/>
      <c r="X685" s="301"/>
      <c r="Y685" s="301"/>
      <c r="Z685" s="301"/>
    </row>
    <row r="686">
      <c r="A686" s="33"/>
      <c r="B686" s="298" t="s">
        <v>2162</v>
      </c>
      <c r="C686" s="299" t="s">
        <v>7812</v>
      </c>
      <c r="D686" s="299" t="s">
        <v>31</v>
      </c>
      <c r="E686" s="300" t="s">
        <v>7813</v>
      </c>
      <c r="F686" s="123">
        <f t="shared" si="1"/>
        <v>1</v>
      </c>
      <c r="G686" s="121"/>
      <c r="H686" s="12"/>
      <c r="I686" s="192"/>
      <c r="J686" s="192"/>
      <c r="K686" s="192"/>
      <c r="L686" s="121"/>
      <c r="M686" s="301"/>
      <c r="N686" s="61"/>
      <c r="O686" s="309" t="s">
        <v>7814</v>
      </c>
      <c r="P686" s="300"/>
      <c r="Q686" s="300"/>
      <c r="R686" s="302"/>
      <c r="S686" s="302"/>
      <c r="T686" s="301"/>
      <c r="U686" s="301"/>
      <c r="V686" s="301"/>
      <c r="W686" s="301"/>
      <c r="X686" s="301"/>
      <c r="Y686" s="301"/>
      <c r="Z686" s="301"/>
    </row>
    <row r="687">
      <c r="A687" s="33"/>
      <c r="B687" s="298" t="s">
        <v>2162</v>
      </c>
      <c r="C687" s="299" t="s">
        <v>7815</v>
      </c>
      <c r="D687" s="299" t="s">
        <v>40</v>
      </c>
      <c r="E687" s="300" t="s">
        <v>7816</v>
      </c>
      <c r="F687" s="123">
        <f t="shared" si="1"/>
        <v>1</v>
      </c>
      <c r="G687" s="121"/>
      <c r="H687" s="12"/>
      <c r="I687" s="192"/>
      <c r="J687" s="192"/>
      <c r="K687" s="192"/>
      <c r="L687" s="121"/>
      <c r="M687" s="301"/>
      <c r="N687" s="61"/>
      <c r="O687" s="309" t="s">
        <v>7817</v>
      </c>
      <c r="P687" s="300"/>
      <c r="Q687" s="300"/>
      <c r="R687" s="302"/>
      <c r="S687" s="302"/>
      <c r="T687" s="301"/>
      <c r="U687" s="301"/>
      <c r="V687" s="301"/>
      <c r="W687" s="301"/>
      <c r="X687" s="301"/>
      <c r="Y687" s="301"/>
      <c r="Z687" s="301"/>
    </row>
    <row r="688">
      <c r="A688" s="33"/>
      <c r="B688" s="33"/>
      <c r="C688" s="12"/>
      <c r="D688" s="12"/>
      <c r="E688" s="71"/>
      <c r="F688" s="123">
        <f t="shared" si="1"/>
        <v>0</v>
      </c>
      <c r="G688" s="12"/>
      <c r="H688" s="12"/>
      <c r="I688" s="12"/>
      <c r="J688" s="12"/>
      <c r="K688" s="12"/>
      <c r="L688" s="12"/>
      <c r="N688" s="72"/>
      <c r="P688" s="72"/>
      <c r="Q688" s="35"/>
    </row>
    <row r="689">
      <c r="A689" s="33" t="s">
        <v>1241</v>
      </c>
      <c r="B689" s="312" t="s">
        <v>2439</v>
      </c>
      <c r="C689" s="313" t="s">
        <v>2440</v>
      </c>
      <c r="D689" s="313" t="s">
        <v>31</v>
      </c>
      <c r="E689" s="314" t="s">
        <v>2441</v>
      </c>
      <c r="F689" s="123">
        <f t="shared" si="1"/>
        <v>2</v>
      </c>
      <c r="G689" s="121" t="s">
        <v>2442</v>
      </c>
      <c r="H689" s="12"/>
      <c r="I689" s="192" t="str">
        <f>IFERROR(__xludf.DUMMYFUNCTION("regexreplace(lower(C689), ""_"", """")"),"violationnumber")</f>
        <v>violationnumber</v>
      </c>
      <c r="J689" s="192" t="b">
        <f t="shared" ref="J689:J708" si="46">exact(I689, K689)</f>
        <v>1</v>
      </c>
      <c r="K689" s="192" t="str">
        <f>IFERROR(__xludf.DUMMYFUNCTION("regexreplace(G689, ""_"", """")"),"violationnumber")</f>
        <v>violationnumber</v>
      </c>
      <c r="L6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""$1$2"")"),"violation_number")</f>
        <v>violation_number</v>
      </c>
      <c r="M689" s="315"/>
      <c r="N689" s="316"/>
      <c r="O689" s="315"/>
      <c r="P689" s="316" t="s">
        <v>2443</v>
      </c>
      <c r="Q689" s="317" t="s">
        <v>2444</v>
      </c>
      <c r="R689" s="315"/>
      <c r="S689" s="315"/>
      <c r="T689" s="315"/>
      <c r="U689" s="315"/>
      <c r="V689" s="315"/>
      <c r="W689" s="315"/>
      <c r="X689" s="315"/>
      <c r="Y689" s="315"/>
      <c r="Z689" s="315"/>
    </row>
    <row r="690">
      <c r="A690" s="33"/>
      <c r="B690" s="312" t="s">
        <v>2439</v>
      </c>
      <c r="C690" s="313" t="s">
        <v>2445</v>
      </c>
      <c r="D690" s="313" t="s">
        <v>26</v>
      </c>
      <c r="E690" s="318" t="s">
        <v>2446</v>
      </c>
      <c r="F690" s="123">
        <f t="shared" si="1"/>
        <v>2</v>
      </c>
      <c r="G690" s="121" t="s">
        <v>2447</v>
      </c>
      <c r="H690" s="12"/>
      <c r="I690" s="192" t="str">
        <f>IFERROR(__xludf.DUMMYFUNCTION("regexreplace(lower(C690), ""_"", """")"),"violationdate")</f>
        <v>violationdate</v>
      </c>
      <c r="J690" s="192" t="b">
        <f t="shared" si="46"/>
        <v>1</v>
      </c>
      <c r="K690" s="192" t="str">
        <f>IFERROR(__xludf.DUMMYFUNCTION("regexreplace(G690, ""_"", """")"),"violationdate")</f>
        <v>violationdate</v>
      </c>
      <c r="L6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""$1$2"")"),"violation_date")</f>
        <v>violation_date</v>
      </c>
      <c r="M690" s="315"/>
      <c r="N690" s="316"/>
      <c r="O690" s="315"/>
      <c r="P690" s="316" t="s">
        <v>2448</v>
      </c>
      <c r="Q690" s="317" t="s">
        <v>2449</v>
      </c>
      <c r="R690" s="315"/>
      <c r="S690" s="315"/>
      <c r="T690" s="315"/>
      <c r="U690" s="315"/>
      <c r="V690" s="315"/>
      <c r="W690" s="315"/>
      <c r="X690" s="315"/>
      <c r="Y690" s="315"/>
      <c r="Z690" s="315"/>
    </row>
    <row r="691">
      <c r="A691" s="33"/>
      <c r="B691" s="312" t="s">
        <v>2439</v>
      </c>
      <c r="C691" s="313" t="s">
        <v>2450</v>
      </c>
      <c r="D691" s="313" t="s">
        <v>2450</v>
      </c>
      <c r="E691" s="318" t="s">
        <v>2451</v>
      </c>
      <c r="F691" s="123">
        <f t="shared" si="1"/>
        <v>2</v>
      </c>
      <c r="G691" s="121" t="s">
        <v>2452</v>
      </c>
      <c r="H691" s="12"/>
      <c r="I691" s="192" t="str">
        <f>IFERROR(__xludf.DUMMYFUNCTION("regexreplace(lower(C691), ""_"", """")"),"violationnature")</f>
        <v>violationnature</v>
      </c>
      <c r="J691" s="192" t="b">
        <f t="shared" si="46"/>
        <v>1</v>
      </c>
      <c r="K691" s="192" t="str">
        <f>IFERROR(__xludf.DUMMYFUNCTION("regexreplace(G691, ""_"", """")"),"violationnature")</f>
        <v>violationnature</v>
      </c>
      <c r="L6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""$1$2"")"),"violation_nature")</f>
        <v>violation_nature</v>
      </c>
      <c r="M691" s="315"/>
      <c r="N691" s="316"/>
      <c r="O691" s="315"/>
      <c r="P691" s="316" t="s">
        <v>2453</v>
      </c>
      <c r="Q691" s="317" t="s">
        <v>2454</v>
      </c>
      <c r="R691" s="315"/>
      <c r="S691" s="315"/>
      <c r="T691" s="315"/>
      <c r="U691" s="315"/>
      <c r="V691" s="315"/>
      <c r="W691" s="315"/>
      <c r="X691" s="315"/>
      <c r="Y691" s="315"/>
      <c r="Z691" s="315"/>
    </row>
    <row r="692">
      <c r="A692" s="33"/>
      <c r="B692" s="312" t="s">
        <v>2439</v>
      </c>
      <c r="C692" s="313" t="s">
        <v>2455</v>
      </c>
      <c r="D692" s="313" t="s">
        <v>40</v>
      </c>
      <c r="E692" s="318" t="s">
        <v>2456</v>
      </c>
      <c r="F692" s="123">
        <f t="shared" si="1"/>
        <v>1</v>
      </c>
      <c r="G692" s="121" t="s">
        <v>2457</v>
      </c>
      <c r="H692" s="12"/>
      <c r="I692" s="192" t="str">
        <f>IFERROR(__xludf.DUMMYFUNCTION("regexreplace(lower(C692), ""_"", """")"),"violationtreatmentassign")</f>
        <v>violationtreatmentassign</v>
      </c>
      <c r="J692" s="192" t="b">
        <f t="shared" si="46"/>
        <v>1</v>
      </c>
      <c r="K692" s="192" t="str">
        <f>IFERROR(__xludf.DUMMYFUNCTION("regexreplace(G692, ""_"", """")"),"violationtreatmentassign")</f>
        <v>violationtreatmentassign</v>
      </c>
      <c r="L6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""$1$2"")"),"violation_treatment_assign")</f>
        <v>violation_treatment_assign</v>
      </c>
      <c r="M692" s="315"/>
      <c r="N692" s="319"/>
      <c r="O692" s="315"/>
      <c r="P692" s="319"/>
      <c r="Q692" s="318" t="s">
        <v>2458</v>
      </c>
      <c r="R692" s="315"/>
      <c r="S692" s="315"/>
      <c r="T692" s="315"/>
      <c r="U692" s="315"/>
      <c r="V692" s="315"/>
      <c r="W692" s="315"/>
      <c r="X692" s="315"/>
      <c r="Y692" s="315"/>
      <c r="Z692" s="315"/>
    </row>
    <row r="693">
      <c r="A693" s="33"/>
      <c r="B693" s="312" t="s">
        <v>2439</v>
      </c>
      <c r="C693" s="313" t="s">
        <v>2459</v>
      </c>
      <c r="D693" s="313" t="s">
        <v>40</v>
      </c>
      <c r="E693" s="318" t="s">
        <v>2460</v>
      </c>
      <c r="F693" s="123">
        <f t="shared" si="1"/>
        <v>1</v>
      </c>
      <c r="G693" s="121" t="s">
        <v>2461</v>
      </c>
      <c r="H693" s="12"/>
      <c r="I693" s="192" t="str">
        <f>IFERROR(__xludf.DUMMYFUNCTION("regexreplace(lower(C693), ""_"", """")"),"violationtreatmentreceive")</f>
        <v>violationtreatmentreceive</v>
      </c>
      <c r="J693" s="192" t="b">
        <f t="shared" si="46"/>
        <v>1</v>
      </c>
      <c r="K693" s="192" t="str">
        <f>IFERROR(__xludf.DUMMYFUNCTION("regexreplace(G693, ""_"", """")"),"violationtreatmentreceive")</f>
        <v>violationtreatmentreceive</v>
      </c>
      <c r="L6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""$1$2"")"),"violation_treatment_receive")</f>
        <v>violation_treatment_receive</v>
      </c>
      <c r="M693" s="315"/>
      <c r="N693" s="319"/>
      <c r="O693" s="315"/>
      <c r="P693" s="319"/>
      <c r="Q693" s="318" t="s">
        <v>2462</v>
      </c>
      <c r="R693" s="315"/>
      <c r="S693" s="315"/>
      <c r="T693" s="315"/>
      <c r="U693" s="315"/>
      <c r="V693" s="315"/>
      <c r="W693" s="315"/>
      <c r="X693" s="315"/>
      <c r="Y693" s="315"/>
      <c r="Z693" s="315"/>
    </row>
    <row r="694">
      <c r="A694" s="33"/>
      <c r="B694" s="312" t="s">
        <v>2439</v>
      </c>
      <c r="C694" s="313" t="s">
        <v>2463</v>
      </c>
      <c r="D694" s="313" t="s">
        <v>16</v>
      </c>
      <c r="E694" s="318" t="s">
        <v>2464</v>
      </c>
      <c r="F694" s="123">
        <f t="shared" si="1"/>
        <v>2</v>
      </c>
      <c r="G694" s="121" t="s">
        <v>2465</v>
      </c>
      <c r="H694" s="12"/>
      <c r="I694" s="192" t="str">
        <f>IFERROR(__xludf.DUMMYFUNCTION("regexreplace(lower(C694), ""_"", """")"),"violationothertext")</f>
        <v>violationothertext</v>
      </c>
      <c r="J694" s="192" t="b">
        <f t="shared" si="46"/>
        <v>1</v>
      </c>
      <c r="K694" s="192" t="str">
        <f>IFERROR(__xludf.DUMMYFUNCTION("regexreplace(G694, ""_"", """")"),"violationothertext")</f>
        <v>violationothertext</v>
      </c>
      <c r="L6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""$1$2"")"),"violation_other_text")</f>
        <v>violation_other_text</v>
      </c>
      <c r="M694" s="315"/>
      <c r="N694" s="316"/>
      <c r="O694" s="315"/>
      <c r="P694" s="320" t="s">
        <v>2466</v>
      </c>
      <c r="Q694" s="317" t="s">
        <v>2467</v>
      </c>
      <c r="R694" s="315"/>
      <c r="S694" s="315"/>
      <c r="T694" s="315"/>
      <c r="U694" s="315"/>
      <c r="V694" s="315"/>
      <c r="W694" s="315"/>
      <c r="X694" s="315"/>
      <c r="Y694" s="315"/>
      <c r="Z694" s="315"/>
    </row>
    <row r="695">
      <c r="A695" s="33"/>
      <c r="B695" s="312" t="s">
        <v>2439</v>
      </c>
      <c r="C695" s="313" t="s">
        <v>2468</v>
      </c>
      <c r="D695" s="313" t="s">
        <v>2468</v>
      </c>
      <c r="E695" s="318" t="s">
        <v>2469</v>
      </c>
      <c r="F695" s="123">
        <f t="shared" si="1"/>
        <v>2</v>
      </c>
      <c r="G695" s="121" t="s">
        <v>2470</v>
      </c>
      <c r="H695" s="12"/>
      <c r="I695" s="192" t="str">
        <f>IFERROR(__xludf.DUMMYFUNCTION("regexreplace(lower(C695), ""_"", """")"),"violationcircumstance")</f>
        <v>violationcircumstance</v>
      </c>
      <c r="J695" s="192" t="b">
        <f t="shared" si="46"/>
        <v>1</v>
      </c>
      <c r="K695" s="192" t="str">
        <f>IFERROR(__xludf.DUMMYFUNCTION("regexreplace(G695, ""_"", """")"),"violationcircumstance")</f>
        <v>violationcircumstance</v>
      </c>
      <c r="L6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""$1$2"")"),"violation_circumstance")</f>
        <v>violation_circumstance</v>
      </c>
      <c r="M695" s="315"/>
      <c r="N695" s="318"/>
      <c r="O695" s="315"/>
      <c r="P695" s="318" t="s">
        <v>2471</v>
      </c>
      <c r="Q695" s="318" t="s">
        <v>2472</v>
      </c>
      <c r="R695" s="315"/>
      <c r="S695" s="315"/>
      <c r="T695" s="315"/>
      <c r="U695" s="315"/>
      <c r="V695" s="315"/>
      <c r="W695" s="315"/>
      <c r="X695" s="315"/>
      <c r="Y695" s="315"/>
      <c r="Z695" s="315"/>
    </row>
    <row r="696">
      <c r="A696" s="33"/>
      <c r="B696" s="312" t="s">
        <v>2439</v>
      </c>
      <c r="C696" s="313" t="s">
        <v>2473</v>
      </c>
      <c r="D696" s="313" t="s">
        <v>16</v>
      </c>
      <c r="E696" s="318" t="s">
        <v>2474</v>
      </c>
      <c r="F696" s="123">
        <f t="shared" si="1"/>
        <v>2</v>
      </c>
      <c r="G696" s="121" t="s">
        <v>2475</v>
      </c>
      <c r="H696" s="12"/>
      <c r="I696" s="192" t="str">
        <f>IFERROR(__xludf.DUMMYFUNCTION("regexreplace(lower(C696), ""_"", """")"),"violationothercirumstancetext")</f>
        <v>violationothercirumstancetext</v>
      </c>
      <c r="J696" s="192" t="b">
        <f t="shared" si="46"/>
        <v>1</v>
      </c>
      <c r="K696" s="192" t="str">
        <f>IFERROR(__xludf.DUMMYFUNCTION("regexreplace(G696, ""_"", """")"),"violationothercirumstancetext")</f>
        <v>violationothercirumstancetext</v>
      </c>
      <c r="L6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""$1$2"")"),"violation_other_cirumstance_text")</f>
        <v>violation_other_cirumstance_text</v>
      </c>
      <c r="M696" s="315"/>
      <c r="N696" s="318"/>
      <c r="O696" s="315"/>
      <c r="P696" s="318" t="s">
        <v>2476</v>
      </c>
      <c r="Q696" s="318" t="s">
        <v>2477</v>
      </c>
      <c r="R696" s="315"/>
      <c r="S696" s="315"/>
      <c r="T696" s="315"/>
      <c r="U696" s="315"/>
      <c r="V696" s="315"/>
      <c r="W696" s="315"/>
      <c r="X696" s="315"/>
      <c r="Y696" s="315"/>
      <c r="Z696" s="315"/>
    </row>
    <row r="697">
      <c r="A697" s="33"/>
      <c r="B697" s="312" t="s">
        <v>2439</v>
      </c>
      <c r="C697" s="313" t="s">
        <v>2478</v>
      </c>
      <c r="D697" s="313" t="s">
        <v>16</v>
      </c>
      <c r="E697" s="318" t="s">
        <v>2479</v>
      </c>
      <c r="F697" s="123">
        <f t="shared" si="1"/>
        <v>2</v>
      </c>
      <c r="G697" s="121" t="s">
        <v>2480</v>
      </c>
      <c r="H697" s="12"/>
      <c r="I697" s="192" t="str">
        <f>IFERROR(__xludf.DUMMYFUNCTION("regexreplace(lower(C697), ""_"", """")"),"violationcomment")</f>
        <v>violationcomment</v>
      </c>
      <c r="J697" s="192" t="b">
        <f t="shared" si="46"/>
        <v>1</v>
      </c>
      <c r="K697" s="192" t="str">
        <f>IFERROR(__xludf.DUMMYFUNCTION("regexreplace(G697, ""_"", """")"),"violationcomment")</f>
        <v>violationcomment</v>
      </c>
      <c r="L6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""$1$2"")"),"violation_comment")</f>
        <v>violation_comment</v>
      </c>
      <c r="M697" s="315"/>
      <c r="N697" s="316"/>
      <c r="O697" s="315"/>
      <c r="P697" s="316" t="s">
        <v>2481</v>
      </c>
      <c r="Q697" s="317" t="s">
        <v>2482</v>
      </c>
      <c r="R697" s="315"/>
      <c r="S697" s="315"/>
      <c r="T697" s="315"/>
      <c r="U697" s="315"/>
      <c r="V697" s="315"/>
      <c r="W697" s="315"/>
      <c r="X697" s="315"/>
      <c r="Y697" s="315"/>
      <c r="Z697" s="315"/>
    </row>
    <row r="698">
      <c r="A698" s="117"/>
      <c r="B698" s="117"/>
      <c r="C698" s="12"/>
      <c r="D698" s="12"/>
      <c r="E698" s="15" t="s">
        <v>7818</v>
      </c>
      <c r="F698" s="123">
        <f t="shared" si="1"/>
        <v>0</v>
      </c>
      <c r="G698" s="12" t="s">
        <v>851</v>
      </c>
      <c r="H698" s="12"/>
      <c r="I698" s="12" t="str">
        <f>IFERROR(__xludf.DUMMYFUNCTION("regexreplace(lower(C698), ""_"", """")"),"")</f>
        <v/>
      </c>
      <c r="J698" s="12" t="b">
        <f t="shared" si="46"/>
        <v>1</v>
      </c>
      <c r="K698" s="12" t="str">
        <f>IFERROR(__xludf.DUMMYFUNCTION("regexreplace(G698, ""_"", """")"),"")</f>
        <v/>
      </c>
      <c r="L69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698" s="15"/>
      <c r="P698" s="15"/>
      <c r="Q698" s="35"/>
    </row>
    <row r="699">
      <c r="A699" s="33"/>
      <c r="B699" s="33"/>
      <c r="C699" s="12"/>
      <c r="D699" s="12"/>
      <c r="E699" s="15"/>
      <c r="F699" s="123">
        <f t="shared" si="1"/>
        <v>0</v>
      </c>
      <c r="G699" s="12" t="s">
        <v>851</v>
      </c>
      <c r="H699" s="12"/>
      <c r="I699" s="12" t="str">
        <f>IFERROR(__xludf.DUMMYFUNCTION("regexreplace(lower(C699), ""_"", """")"),"")</f>
        <v/>
      </c>
      <c r="J699" s="12" t="b">
        <f t="shared" si="46"/>
        <v>1</v>
      </c>
      <c r="K699" s="12" t="str">
        <f>IFERROR(__xludf.DUMMYFUNCTION("regexreplace(G699, ""_"", """")"),"")</f>
        <v/>
      </c>
      <c r="L69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699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699" s="40"/>
      <c r="P699" s="40"/>
      <c r="Q699" s="15"/>
      <c r="R699" s="88"/>
      <c r="S699" s="88"/>
    </row>
    <row r="700">
      <c r="A700" s="33" t="s">
        <v>1241</v>
      </c>
      <c r="B700" s="321" t="s">
        <v>2483</v>
      </c>
      <c r="C700" s="322" t="s">
        <v>2484</v>
      </c>
      <c r="D700" s="322" t="s">
        <v>31</v>
      </c>
      <c r="E700" s="323" t="s">
        <v>2485</v>
      </c>
      <c r="F700" s="123">
        <f t="shared" si="1"/>
        <v>1</v>
      </c>
      <c r="G700" s="121" t="s">
        <v>2486</v>
      </c>
      <c r="H700" s="12"/>
      <c r="I700" s="192" t="str">
        <f>IFERROR(__xludf.DUMMYFUNCTION("regexreplace(lower(C700), ""_"", """")"),"interruptnumber")</f>
        <v>interruptnumber</v>
      </c>
      <c r="J700" s="192" t="b">
        <f t="shared" si="46"/>
        <v>1</v>
      </c>
      <c r="K700" s="192" t="str">
        <f>IFERROR(__xludf.DUMMYFUNCTION("regexreplace(G700, ""_"", """")"),"interruptnumber")</f>
        <v>interruptnumber</v>
      </c>
      <c r="L7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""$1$2"")"),"interrupt_number")</f>
        <v>interrupt_number</v>
      </c>
      <c r="M700" s="324"/>
      <c r="N700" s="325"/>
      <c r="O700" s="324"/>
      <c r="P700" s="325"/>
      <c r="Q700" s="323" t="s">
        <v>2487</v>
      </c>
      <c r="R700" s="326"/>
      <c r="S700" s="326"/>
      <c r="T700" s="324"/>
      <c r="U700" s="324"/>
      <c r="V700" s="324"/>
      <c r="W700" s="324"/>
      <c r="X700" s="324"/>
      <c r="Y700" s="324"/>
      <c r="Z700" s="324"/>
    </row>
    <row r="701">
      <c r="A701" s="33"/>
      <c r="B701" s="321" t="s">
        <v>2483</v>
      </c>
      <c r="C701" s="327" t="s">
        <v>2488</v>
      </c>
      <c r="D701" s="322" t="s">
        <v>40</v>
      </c>
      <c r="E701" s="323" t="s">
        <v>2489</v>
      </c>
      <c r="F701" s="123">
        <f t="shared" si="1"/>
        <v>1</v>
      </c>
      <c r="G701" s="121" t="s">
        <v>2488</v>
      </c>
      <c r="H701" s="328"/>
      <c r="I701" s="192" t="str">
        <f>IFERROR(__xludf.DUMMYFUNCTION("regexreplace(lower(C701), ""_"", """")"),"interrupt")</f>
        <v>interrupt</v>
      </c>
      <c r="J701" s="192" t="b">
        <f t="shared" si="46"/>
        <v>1</v>
      </c>
      <c r="K701" s="192" t="str">
        <f>IFERROR(__xludf.DUMMYFUNCTION("regexreplace(G701, ""_"", """")"),"interrupt")</f>
        <v>interrupt</v>
      </c>
      <c r="L7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""$1$2"")"),"interrupt")</f>
        <v>interrupt</v>
      </c>
      <c r="M701" s="324"/>
      <c r="N701" s="324"/>
      <c r="O701" s="324"/>
      <c r="P701" s="324"/>
      <c r="Q701" s="323" t="s">
        <v>2490</v>
      </c>
      <c r="R701" s="326"/>
      <c r="S701" s="326"/>
      <c r="T701" s="324"/>
      <c r="U701" s="324"/>
      <c r="V701" s="324"/>
      <c r="W701" s="324"/>
      <c r="X701" s="324"/>
      <c r="Y701" s="324"/>
      <c r="Z701" s="324"/>
    </row>
    <row r="702">
      <c r="A702" s="33"/>
      <c r="B702" s="321" t="s">
        <v>2483</v>
      </c>
      <c r="C702" s="327" t="s">
        <v>2491</v>
      </c>
      <c r="D702" s="327" t="s">
        <v>2491</v>
      </c>
      <c r="E702" s="323" t="s">
        <v>2492</v>
      </c>
      <c r="F702" s="123">
        <f t="shared" si="1"/>
        <v>1</v>
      </c>
      <c r="G702" s="121" t="s">
        <v>2493</v>
      </c>
      <c r="H702" s="328"/>
      <c r="I702" s="192" t="str">
        <f>IFERROR(__xludf.DUMMYFUNCTION("regexreplace(lower(C702), ""_"", """")"),"interruptreason")</f>
        <v>interruptreason</v>
      </c>
      <c r="J702" s="192" t="b">
        <f t="shared" si="46"/>
        <v>1</v>
      </c>
      <c r="K702" s="192" t="str">
        <f>IFERROR(__xludf.DUMMYFUNCTION("regexreplace(G702, ""_"", """")"),"interruptreason")</f>
        <v>interruptreason</v>
      </c>
      <c r="L7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""$1$2"")"),"interrupt_reason")</f>
        <v>interrupt_reason</v>
      </c>
      <c r="M702" s="324"/>
      <c r="N702" s="325"/>
      <c r="O702" s="324"/>
      <c r="P702" s="325"/>
      <c r="Q702" s="323" t="s">
        <v>2494</v>
      </c>
      <c r="R702" s="326"/>
      <c r="S702" s="326"/>
      <c r="T702" s="324"/>
      <c r="U702" s="324"/>
      <c r="V702" s="324"/>
      <c r="W702" s="324"/>
      <c r="X702" s="324"/>
      <c r="Y702" s="324"/>
      <c r="Z702" s="324"/>
    </row>
    <row r="703">
      <c r="A703" s="33"/>
      <c r="B703" s="321" t="s">
        <v>2483</v>
      </c>
      <c r="C703" s="327" t="s">
        <v>2495</v>
      </c>
      <c r="D703" s="322" t="s">
        <v>16</v>
      </c>
      <c r="E703" s="323" t="s">
        <v>2496</v>
      </c>
      <c r="F703" s="123">
        <f t="shared" si="1"/>
        <v>1</v>
      </c>
      <c r="G703" s="121" t="s">
        <v>2497</v>
      </c>
      <c r="H703" s="328"/>
      <c r="I703" s="192" t="str">
        <f>IFERROR(__xludf.DUMMYFUNCTION("regexreplace(lower(C703), ""_"", """")"),"interruptreasontext")</f>
        <v>interruptreasontext</v>
      </c>
      <c r="J703" s="192" t="b">
        <f t="shared" si="46"/>
        <v>1</v>
      </c>
      <c r="K703" s="192" t="str">
        <f>IFERROR(__xludf.DUMMYFUNCTION("regexreplace(G703, ""_"", """")"),"interruptreasontext")</f>
        <v>interruptreasontext</v>
      </c>
      <c r="L7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""$1$2"")"),"interrupt_reason_text")</f>
        <v>interrupt_reason_text</v>
      </c>
      <c r="M703" s="324"/>
      <c r="N703" s="325"/>
      <c r="O703" s="324"/>
      <c r="P703" s="325"/>
      <c r="Q703" s="323" t="s">
        <v>2498</v>
      </c>
      <c r="R703" s="326"/>
      <c r="S703" s="326"/>
      <c r="T703" s="324"/>
      <c r="U703" s="324"/>
      <c r="V703" s="324"/>
      <c r="W703" s="324"/>
      <c r="X703" s="324"/>
      <c r="Y703" s="324"/>
      <c r="Z703" s="324"/>
    </row>
    <row r="704">
      <c r="A704" s="33"/>
      <c r="B704" s="321" t="s">
        <v>2483</v>
      </c>
      <c r="C704" s="322" t="s">
        <v>2499</v>
      </c>
      <c r="D704" s="322" t="s">
        <v>26</v>
      </c>
      <c r="E704" s="323" t="s">
        <v>2500</v>
      </c>
      <c r="F704" s="123">
        <f t="shared" si="1"/>
        <v>1</v>
      </c>
      <c r="G704" s="121" t="s">
        <v>2501</v>
      </c>
      <c r="H704" s="12"/>
      <c r="I704" s="192" t="str">
        <f>IFERROR(__xludf.DUMMYFUNCTION("regexreplace(lower(C704), ""_"", """")"),"interruptdate")</f>
        <v>interruptdate</v>
      </c>
      <c r="J704" s="192" t="b">
        <f t="shared" si="46"/>
        <v>1</v>
      </c>
      <c r="K704" s="192" t="str">
        <f>IFERROR(__xludf.DUMMYFUNCTION("regexreplace(G704, ""_"", """")"),"interruptdate")</f>
        <v>interruptdate</v>
      </c>
      <c r="L7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""$1$2"")"),"interrupt_date")</f>
        <v>interrupt_date</v>
      </c>
      <c r="M704" s="324"/>
      <c r="N704" s="325"/>
      <c r="O704" s="324"/>
      <c r="P704" s="325"/>
      <c r="Q704" s="323" t="s">
        <v>2502</v>
      </c>
      <c r="R704" s="326"/>
      <c r="S704" s="326"/>
      <c r="T704" s="324"/>
      <c r="U704" s="324"/>
      <c r="V704" s="324"/>
      <c r="W704" s="324"/>
      <c r="X704" s="324"/>
      <c r="Y704" s="324"/>
      <c r="Z704" s="324"/>
    </row>
    <row r="705">
      <c r="A705" s="33"/>
      <c r="B705" s="321" t="s">
        <v>2483</v>
      </c>
      <c r="C705" s="322" t="s">
        <v>2503</v>
      </c>
      <c r="D705" s="322" t="s">
        <v>145</v>
      </c>
      <c r="E705" s="323" t="s">
        <v>2504</v>
      </c>
      <c r="F705" s="123">
        <f t="shared" si="1"/>
        <v>1</v>
      </c>
      <c r="G705" s="121" t="s">
        <v>2505</v>
      </c>
      <c r="H705" s="12"/>
      <c r="I705" s="192" t="str">
        <f>IFERROR(__xludf.DUMMYFUNCTION("regexreplace(lower(C705), ""_"", """")"),"interrupttime")</f>
        <v>interrupttime</v>
      </c>
      <c r="J705" s="192" t="b">
        <f t="shared" si="46"/>
        <v>1</v>
      </c>
      <c r="K705" s="192" t="str">
        <f>IFERROR(__xludf.DUMMYFUNCTION("regexreplace(G705, ""_"", """")"),"interrupttime")</f>
        <v>interrupttime</v>
      </c>
      <c r="L7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""$1$2"")"),"interrupt_time")</f>
        <v>interrupt_time</v>
      </c>
      <c r="M705" s="324"/>
      <c r="N705" s="325"/>
      <c r="O705" s="324"/>
      <c r="P705" s="325"/>
      <c r="Q705" s="323" t="s">
        <v>2506</v>
      </c>
      <c r="R705" s="326"/>
      <c r="S705" s="326"/>
      <c r="T705" s="324"/>
      <c r="U705" s="324"/>
      <c r="V705" s="324"/>
      <c r="W705" s="324"/>
      <c r="X705" s="324"/>
      <c r="Y705" s="324"/>
      <c r="Z705" s="324"/>
    </row>
    <row r="706">
      <c r="A706" s="33"/>
      <c r="B706" s="321" t="s">
        <v>2483</v>
      </c>
      <c r="C706" s="322" t="s">
        <v>2507</v>
      </c>
      <c r="D706" s="322" t="s">
        <v>26</v>
      </c>
      <c r="E706" s="323" t="s">
        <v>2508</v>
      </c>
      <c r="F706" s="123">
        <f t="shared" si="1"/>
        <v>1</v>
      </c>
      <c r="G706" s="121" t="s">
        <v>2509</v>
      </c>
      <c r="H706" s="12"/>
      <c r="I706" s="192" t="str">
        <f>IFERROR(__xludf.DUMMYFUNCTION("regexreplace(lower(C706), ""_"", """")"),"interruptrestartdate")</f>
        <v>interruptrestartdate</v>
      </c>
      <c r="J706" s="192" t="b">
        <f t="shared" si="46"/>
        <v>1</v>
      </c>
      <c r="K706" s="192" t="str">
        <f>IFERROR(__xludf.DUMMYFUNCTION("regexreplace(G706, ""_"", """")"),"interruptrestartdate")</f>
        <v>interruptrestartdate</v>
      </c>
      <c r="L7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""$1$2"")"),"interrupt_restart_date")</f>
        <v>interrupt_restart_date</v>
      </c>
      <c r="M706" s="324"/>
      <c r="N706" s="325"/>
      <c r="O706" s="324"/>
      <c r="P706" s="325"/>
      <c r="Q706" s="323" t="s">
        <v>2510</v>
      </c>
      <c r="R706" s="326"/>
      <c r="S706" s="326"/>
      <c r="T706" s="324"/>
      <c r="U706" s="324"/>
      <c r="V706" s="324"/>
      <c r="W706" s="324"/>
      <c r="X706" s="324"/>
      <c r="Y706" s="324"/>
      <c r="Z706" s="324"/>
    </row>
    <row r="707">
      <c r="A707" s="33"/>
      <c r="B707" s="321" t="s">
        <v>2483</v>
      </c>
      <c r="C707" s="322" t="s">
        <v>2511</v>
      </c>
      <c r="D707" s="322" t="s">
        <v>145</v>
      </c>
      <c r="E707" s="323" t="s">
        <v>2512</v>
      </c>
      <c r="F707" s="123">
        <f t="shared" si="1"/>
        <v>1</v>
      </c>
      <c r="G707" s="121" t="s">
        <v>2513</v>
      </c>
      <c r="H707" s="12"/>
      <c r="I707" s="192" t="str">
        <f>IFERROR(__xludf.DUMMYFUNCTION("regexreplace(lower(C707), ""_"", """")"),"interruptrestarttime")</f>
        <v>interruptrestarttime</v>
      </c>
      <c r="J707" s="192" t="b">
        <f t="shared" si="46"/>
        <v>1</v>
      </c>
      <c r="K707" s="192" t="str">
        <f>IFERROR(__xludf.DUMMYFUNCTION("regexreplace(G707, ""_"", """")"),"interruptrestarttime")</f>
        <v>interruptrestarttime</v>
      </c>
      <c r="L7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""$1$2"")"),"interrupt_restart_time")</f>
        <v>interrupt_restart_time</v>
      </c>
      <c r="M707" s="324"/>
      <c r="N707" s="325"/>
      <c r="O707" s="324"/>
      <c r="P707" s="325"/>
      <c r="Q707" s="323" t="s">
        <v>2514</v>
      </c>
      <c r="R707" s="326"/>
      <c r="S707" s="326"/>
      <c r="T707" s="324"/>
      <c r="U707" s="324"/>
      <c r="V707" s="324"/>
      <c r="W707" s="324"/>
      <c r="X707" s="324"/>
      <c r="Y707" s="324"/>
      <c r="Z707" s="324"/>
    </row>
    <row r="708">
      <c r="A708" s="33"/>
      <c r="B708" s="321" t="s">
        <v>2483</v>
      </c>
      <c r="C708" s="322" t="s">
        <v>2515</v>
      </c>
      <c r="D708" s="322" t="s">
        <v>483</v>
      </c>
      <c r="E708" s="323" t="s">
        <v>2516</v>
      </c>
      <c r="F708" s="123">
        <f t="shared" si="1"/>
        <v>1</v>
      </c>
      <c r="G708" s="121" t="s">
        <v>7819</v>
      </c>
      <c r="H708" s="12"/>
      <c r="I708" s="192" t="str">
        <f>IFERROR(__xludf.DUMMYFUNCTION("regexreplace(lower(C708), ""_"", """")"),"interruptrestartesophagealtemperaturec")</f>
        <v>interruptrestartesophagealtemperaturec</v>
      </c>
      <c r="J708" s="192" t="b">
        <f t="shared" si="46"/>
        <v>0</v>
      </c>
      <c r="K708" s="192" t="str">
        <f>IFERROR(__xludf.DUMMYFUNCTION("regexreplace(G708, ""_"", """")"),"interruptrestartesophagealtemperature")</f>
        <v>interruptrestartesophagealtemperature</v>
      </c>
      <c r="L7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""$1$2"")"),"interrupt_restart_esophageal_temperature__c")</f>
        <v>interrupt_restart_esophageal_temperature__c</v>
      </c>
      <c r="M708" s="324"/>
      <c r="N708" s="325"/>
      <c r="O708" s="324"/>
      <c r="P708" s="325"/>
      <c r="Q708" s="323" t="s">
        <v>2518</v>
      </c>
      <c r="R708" s="326"/>
      <c r="S708" s="326"/>
      <c r="T708" s="324"/>
      <c r="U708" s="324"/>
      <c r="V708" s="324"/>
      <c r="W708" s="324"/>
      <c r="X708" s="324"/>
      <c r="Y708" s="324"/>
      <c r="Z708" s="324"/>
    </row>
    <row r="709">
      <c r="A709" s="33"/>
      <c r="B709" s="33"/>
      <c r="C709" s="12"/>
      <c r="D709" s="12"/>
      <c r="E709" s="13"/>
      <c r="F709" s="123">
        <f t="shared" si="1"/>
        <v>0</v>
      </c>
      <c r="G709" s="12"/>
      <c r="H709" s="12"/>
      <c r="I709" s="12"/>
      <c r="J709" s="12"/>
      <c r="K709" s="12"/>
      <c r="L709" s="12"/>
      <c r="N709" s="15"/>
      <c r="P709" s="15"/>
      <c r="Q709" s="15"/>
      <c r="R709" s="88"/>
      <c r="S709" s="88"/>
    </row>
    <row r="710">
      <c r="A710" s="33" t="s">
        <v>1241</v>
      </c>
      <c r="B710" s="246" t="s">
        <v>2519</v>
      </c>
      <c r="C710" s="247" t="s">
        <v>2520</v>
      </c>
      <c r="D710" s="247" t="s">
        <v>26</v>
      </c>
      <c r="E710" s="259" t="s">
        <v>2521</v>
      </c>
      <c r="F710" s="123">
        <f t="shared" si="1"/>
        <v>2</v>
      </c>
      <c r="G710" s="121" t="s">
        <v>2522</v>
      </c>
      <c r="H710" s="12"/>
      <c r="I710" s="192" t="str">
        <f>IFERROR(__xludf.DUMMYFUNCTION("regexreplace(lower(C710), ""_"", """")"),"discontinuedate")</f>
        <v>discontinuedate</v>
      </c>
      <c r="J710" s="192" t="b">
        <f t="shared" ref="J710:J716" si="47">exact(I710, K710)</f>
        <v>1</v>
      </c>
      <c r="K710" s="192" t="str">
        <f>IFERROR(__xludf.DUMMYFUNCTION("regexreplace(G710, ""_"", """")"),"discontinuedate")</f>
        <v>discontinuedate</v>
      </c>
      <c r="L7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""$1$2"")"),"discontinue_date")</f>
        <v>discontinue_date</v>
      </c>
      <c r="M710" s="257"/>
      <c r="N710" s="255" t="s">
        <v>7820</v>
      </c>
      <c r="O710" s="257"/>
      <c r="P710" s="255" t="s">
        <v>2523</v>
      </c>
      <c r="Q710" s="255" t="s">
        <v>2524</v>
      </c>
      <c r="R710" s="258"/>
      <c r="S710" s="258"/>
      <c r="T710" s="257"/>
      <c r="U710" s="257"/>
      <c r="V710" s="257"/>
      <c r="W710" s="257"/>
      <c r="X710" s="257"/>
      <c r="Y710" s="257"/>
      <c r="Z710" s="257"/>
    </row>
    <row r="711">
      <c r="A711" s="33"/>
      <c r="B711" s="246" t="s">
        <v>2519</v>
      </c>
      <c r="C711" s="247" t="s">
        <v>2525</v>
      </c>
      <c r="D711" s="247" t="s">
        <v>145</v>
      </c>
      <c r="E711" s="259" t="s">
        <v>2526</v>
      </c>
      <c r="F711" s="123">
        <f t="shared" si="1"/>
        <v>2</v>
      </c>
      <c r="G711" s="121" t="s">
        <v>2527</v>
      </c>
      <c r="H711" s="12"/>
      <c r="I711" s="192" t="str">
        <f>IFERROR(__xludf.DUMMYFUNCTION("regexreplace(lower(C711), ""_"", """")"),"discontinuetime")</f>
        <v>discontinuetime</v>
      </c>
      <c r="J711" s="192" t="b">
        <f t="shared" si="47"/>
        <v>1</v>
      </c>
      <c r="K711" s="192" t="str">
        <f>IFERROR(__xludf.DUMMYFUNCTION("regexreplace(G711, ""_"", """")"),"discontinuetime")</f>
        <v>discontinuetime</v>
      </c>
      <c r="L7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""$1$2"")"),"discontinue_time")</f>
        <v>discontinue_time</v>
      </c>
      <c r="M711" s="257"/>
      <c r="N711" s="255"/>
      <c r="O711" s="257"/>
      <c r="P711" s="255" t="s">
        <v>2528</v>
      </c>
      <c r="Q711" s="255" t="s">
        <v>2529</v>
      </c>
      <c r="R711" s="258"/>
      <c r="S711" s="258"/>
      <c r="T711" s="257"/>
      <c r="U711" s="257"/>
      <c r="V711" s="257"/>
      <c r="W711" s="257"/>
      <c r="X711" s="257"/>
      <c r="Y711" s="257"/>
      <c r="Z711" s="257"/>
    </row>
    <row r="712">
      <c r="A712" s="33"/>
      <c r="B712" s="246" t="s">
        <v>2519</v>
      </c>
      <c r="C712" s="247" t="s">
        <v>2530</v>
      </c>
      <c r="D712" s="247" t="s">
        <v>40</v>
      </c>
      <c r="E712" s="255" t="s">
        <v>2531</v>
      </c>
      <c r="F712" s="123">
        <f t="shared" si="1"/>
        <v>2</v>
      </c>
      <c r="G712" s="121" t="s">
        <v>2532</v>
      </c>
      <c r="H712" s="12" t="s">
        <v>2533</v>
      </c>
      <c r="I712" s="192" t="str">
        <f>IFERROR(__xludf.DUMMYFUNCTION("regexreplace(lower(C712), ""_"", """")"),"discontinuebeforeendperiod")</f>
        <v>discontinuebeforeendperiod</v>
      </c>
      <c r="J712" s="192" t="b">
        <f t="shared" si="47"/>
        <v>1</v>
      </c>
      <c r="K712" s="192" t="str">
        <f>IFERROR(__xludf.DUMMYFUNCTION("regexreplace(G712, ""_"", """")"),"discontinuebeforeendperiod")</f>
        <v>discontinuebeforeendperiod</v>
      </c>
      <c r="L7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""$1$2"")"),"discontinue_before_end_period")</f>
        <v>discontinue_before_end_period</v>
      </c>
      <c r="M712" s="257"/>
      <c r="N712" s="255"/>
      <c r="O712" s="257"/>
      <c r="P712" s="255" t="s">
        <v>2534</v>
      </c>
      <c r="Q712" s="255" t="s">
        <v>2535</v>
      </c>
      <c r="R712" s="258"/>
      <c r="S712" s="258"/>
      <c r="T712" s="257"/>
      <c r="U712" s="257"/>
      <c r="V712" s="257"/>
      <c r="W712" s="257"/>
      <c r="X712" s="257"/>
      <c r="Y712" s="257"/>
      <c r="Z712" s="257"/>
    </row>
    <row r="713">
      <c r="A713" s="33"/>
      <c r="B713" s="246" t="s">
        <v>2519</v>
      </c>
      <c r="C713" s="247" t="s">
        <v>2536</v>
      </c>
      <c r="D713" s="247" t="s">
        <v>40</v>
      </c>
      <c r="E713" s="255" t="s">
        <v>2537</v>
      </c>
      <c r="F713" s="123">
        <f t="shared" si="1"/>
        <v>1</v>
      </c>
      <c r="G713" s="121" t="s">
        <v>2538</v>
      </c>
      <c r="H713" s="12" t="s">
        <v>2539</v>
      </c>
      <c r="I713" s="192" t="str">
        <f>IFERROR(__xludf.DUMMYFUNCTION("regexreplace(lower(C713), ""_"", """")"),"discontinueparentswithdraw")</f>
        <v>discontinueparentswithdraw</v>
      </c>
      <c r="J713" s="192" t="b">
        <f t="shared" si="47"/>
        <v>1</v>
      </c>
      <c r="K713" s="192" t="str">
        <f>IFERROR(__xludf.DUMMYFUNCTION("regexreplace(G713, ""_"", """")"),"discontinueparentswithdraw")</f>
        <v>discontinueparentswithdraw</v>
      </c>
      <c r="L7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""$1$2"")"),"discontinue_parents_withdraw")</f>
        <v>discontinue_parents_withdraw</v>
      </c>
      <c r="M713" s="257"/>
      <c r="N713" s="255"/>
      <c r="O713" s="257"/>
      <c r="P713" s="255" t="s">
        <v>2540</v>
      </c>
      <c r="Q713" s="258"/>
      <c r="R713" s="258"/>
      <c r="S713" s="258"/>
      <c r="T713" s="257"/>
      <c r="U713" s="257"/>
      <c r="V713" s="257"/>
      <c r="W713" s="257"/>
      <c r="X713" s="257"/>
      <c r="Y713" s="257"/>
      <c r="Z713" s="257"/>
    </row>
    <row r="714">
      <c r="A714" s="33"/>
      <c r="B714" s="246" t="s">
        <v>2519</v>
      </c>
      <c r="C714" s="247" t="s">
        <v>2541</v>
      </c>
      <c r="D714" s="247" t="s">
        <v>40</v>
      </c>
      <c r="E714" s="255" t="s">
        <v>2542</v>
      </c>
      <c r="F714" s="123">
        <f t="shared" si="1"/>
        <v>1</v>
      </c>
      <c r="G714" s="121" t="s">
        <v>2543</v>
      </c>
      <c r="H714" s="12" t="s">
        <v>2544</v>
      </c>
      <c r="I714" s="192" t="str">
        <f>IFERROR(__xludf.DUMMYFUNCTION("regexreplace(lower(C714), ""_"", """")"),"discontinuephysicianwithdraw")</f>
        <v>discontinuephysicianwithdraw</v>
      </c>
      <c r="J714" s="192" t="b">
        <f t="shared" si="47"/>
        <v>1</v>
      </c>
      <c r="K714" s="192" t="str">
        <f>IFERROR(__xludf.DUMMYFUNCTION("regexreplace(G714, ""_"", """")"),"discontinuephysicianwithdraw")</f>
        <v>discontinuephysicianwithdraw</v>
      </c>
      <c r="L7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""$1$2"")"),"discontinue_physician_withdraw")</f>
        <v>discontinue_physician_withdraw</v>
      </c>
      <c r="M714" s="257"/>
      <c r="N714" s="255"/>
      <c r="O714" s="257"/>
      <c r="P714" s="255" t="s">
        <v>2545</v>
      </c>
      <c r="Q714" s="258"/>
      <c r="R714" s="258"/>
      <c r="S714" s="258"/>
      <c r="T714" s="257"/>
      <c r="U714" s="257"/>
      <c r="V714" s="257"/>
      <c r="W714" s="257"/>
      <c r="X714" s="257"/>
      <c r="Y714" s="257"/>
      <c r="Z714" s="257"/>
    </row>
    <row r="715">
      <c r="A715" s="33"/>
      <c r="B715" s="246" t="s">
        <v>2519</v>
      </c>
      <c r="C715" s="247" t="s">
        <v>2546</v>
      </c>
      <c r="D715" s="247" t="s">
        <v>40</v>
      </c>
      <c r="E715" s="255" t="s">
        <v>2547</v>
      </c>
      <c r="F715" s="123">
        <f t="shared" si="1"/>
        <v>1</v>
      </c>
      <c r="G715" s="121" t="s">
        <v>2548</v>
      </c>
      <c r="H715" s="12" t="s">
        <v>2549</v>
      </c>
      <c r="I715" s="192" t="str">
        <f>IFERROR(__xludf.DUMMYFUNCTION("regexreplace(lower(C715), ""_"", """")"),"discontinueadverseevent")</f>
        <v>discontinueadverseevent</v>
      </c>
      <c r="J715" s="192" t="b">
        <f t="shared" si="47"/>
        <v>1</v>
      </c>
      <c r="K715" s="192" t="str">
        <f>IFERROR(__xludf.DUMMYFUNCTION("regexreplace(G715, ""_"", """")"),"discontinueadverseevent")</f>
        <v>discontinueadverseevent</v>
      </c>
      <c r="L7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""$1$2"")"),"discontinue_adverse_event")</f>
        <v>discontinue_adverse_event</v>
      </c>
      <c r="M715" s="257"/>
      <c r="N715" s="255"/>
      <c r="O715" s="257"/>
      <c r="P715" s="255" t="s">
        <v>2550</v>
      </c>
      <c r="Q715" s="258"/>
      <c r="R715" s="258"/>
      <c r="S715" s="258"/>
      <c r="T715" s="257"/>
      <c r="U715" s="257"/>
      <c r="V715" s="257"/>
      <c r="W715" s="257"/>
      <c r="X715" s="257"/>
      <c r="Y715" s="257"/>
      <c r="Z715" s="257"/>
    </row>
    <row r="716">
      <c r="A716" s="33"/>
      <c r="B716" s="246" t="s">
        <v>2519</v>
      </c>
      <c r="C716" s="247" t="s">
        <v>2551</v>
      </c>
      <c r="D716" s="247" t="s">
        <v>40</v>
      </c>
      <c r="E716" s="255" t="s">
        <v>2552</v>
      </c>
      <c r="F716" s="123">
        <f t="shared" si="1"/>
        <v>1</v>
      </c>
      <c r="G716" s="121" t="s">
        <v>2553</v>
      </c>
      <c r="H716" s="12" t="s">
        <v>2554</v>
      </c>
      <c r="I716" s="192" t="str">
        <f>IFERROR(__xludf.DUMMYFUNCTION("regexreplace(lower(C716), ""_"", """")"),"discontinueecmo")</f>
        <v>discontinueecmo</v>
      </c>
      <c r="J716" s="192" t="b">
        <f t="shared" si="47"/>
        <v>1</v>
      </c>
      <c r="K716" s="192" t="str">
        <f>IFERROR(__xludf.DUMMYFUNCTION("regexreplace(G716, ""_"", """")"),"discontinueecmo")</f>
        <v>discontinueecmo</v>
      </c>
      <c r="L7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""$1$2"")"),"discontinue_ecmo")</f>
        <v>discontinue_ecmo</v>
      </c>
      <c r="M716" s="257"/>
      <c r="N716" s="255"/>
      <c r="O716" s="257"/>
      <c r="P716" s="255" t="s">
        <v>2555</v>
      </c>
      <c r="Q716" s="258"/>
      <c r="R716" s="258"/>
      <c r="S716" s="258"/>
      <c r="T716" s="257"/>
      <c r="U716" s="257"/>
      <c r="V716" s="257"/>
      <c r="W716" s="257"/>
      <c r="X716" s="257"/>
      <c r="Y716" s="257"/>
      <c r="Z716" s="257"/>
    </row>
    <row r="717">
      <c r="A717" s="33"/>
      <c r="B717" s="246" t="s">
        <v>2519</v>
      </c>
      <c r="C717" s="247" t="s">
        <v>2556</v>
      </c>
      <c r="D717" s="247" t="s">
        <v>40</v>
      </c>
      <c r="E717" s="255"/>
      <c r="F717" s="123">
        <f t="shared" si="1"/>
        <v>0</v>
      </c>
      <c r="G717" s="121"/>
      <c r="H717" s="12" t="s">
        <v>2558</v>
      </c>
      <c r="I717" s="192"/>
      <c r="J717" s="192"/>
      <c r="K717" s="192"/>
      <c r="L717" s="121"/>
      <c r="M717" s="257"/>
      <c r="N717" s="255"/>
      <c r="O717" s="257"/>
      <c r="P717" s="255"/>
      <c r="Q717" s="258"/>
      <c r="R717" s="258"/>
      <c r="S717" s="258"/>
      <c r="T717" s="257"/>
      <c r="U717" s="257"/>
      <c r="V717" s="257"/>
      <c r="W717" s="257"/>
      <c r="X717" s="257"/>
      <c r="Y717" s="257"/>
      <c r="Z717" s="257"/>
    </row>
    <row r="718">
      <c r="A718" s="33"/>
      <c r="B718" s="246" t="s">
        <v>2519</v>
      </c>
      <c r="C718" s="247" t="s">
        <v>2559</v>
      </c>
      <c r="D718" s="247" t="s">
        <v>40</v>
      </c>
      <c r="E718" s="255"/>
      <c r="F718" s="123">
        <f t="shared" si="1"/>
        <v>0</v>
      </c>
      <c r="G718" s="121"/>
      <c r="H718" s="12" t="s">
        <v>2561</v>
      </c>
      <c r="I718" s="192"/>
      <c r="J718" s="192"/>
      <c r="K718" s="192"/>
      <c r="L718" s="121"/>
      <c r="M718" s="257"/>
      <c r="N718" s="255"/>
      <c r="O718" s="257"/>
      <c r="P718" s="255"/>
      <c r="Q718" s="258"/>
      <c r="R718" s="258"/>
      <c r="S718" s="258"/>
      <c r="T718" s="257"/>
      <c r="U718" s="257"/>
      <c r="V718" s="257"/>
      <c r="W718" s="257"/>
      <c r="X718" s="257"/>
      <c r="Y718" s="257"/>
      <c r="Z718" s="257"/>
    </row>
    <row r="719">
      <c r="A719" s="33"/>
      <c r="B719" s="246" t="s">
        <v>2519</v>
      </c>
      <c r="C719" s="247" t="s">
        <v>2562</v>
      </c>
      <c r="D719" s="247" t="s">
        <v>40</v>
      </c>
      <c r="E719" s="255" t="s">
        <v>6598</v>
      </c>
      <c r="F719" s="123">
        <f t="shared" si="1"/>
        <v>1</v>
      </c>
      <c r="G719" s="121" t="s">
        <v>2563</v>
      </c>
      <c r="H719" s="12" t="s">
        <v>2564</v>
      </c>
      <c r="I719" s="192" t="str">
        <f>IFERROR(__xludf.DUMMYFUNCTION("regexreplace(lower(C719), ""_"", """")"),"discontinuedeath")</f>
        <v>discontinuedeath</v>
      </c>
      <c r="J719" s="192" t="b">
        <f t="shared" ref="J719:J721" si="48">exact(I719, K719)</f>
        <v>1</v>
      </c>
      <c r="K719" s="192" t="str">
        <f>IFERROR(__xludf.DUMMYFUNCTION("regexreplace(G719, ""_"", """")"),"discontinuedeath")</f>
        <v>discontinuedeath</v>
      </c>
      <c r="L7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""$1$2"")"),"discontinue_death")</f>
        <v>discontinue_death</v>
      </c>
      <c r="M719" s="257"/>
      <c r="N719" s="255"/>
      <c r="O719" s="257"/>
      <c r="P719" s="255" t="s">
        <v>2565</v>
      </c>
      <c r="Q719" s="258"/>
      <c r="R719" s="258"/>
      <c r="S719" s="258"/>
      <c r="T719" s="257"/>
      <c r="U719" s="257"/>
      <c r="V719" s="257"/>
      <c r="W719" s="257"/>
      <c r="X719" s="257"/>
      <c r="Y719" s="257"/>
      <c r="Z719" s="257"/>
    </row>
    <row r="720">
      <c r="A720" s="33"/>
      <c r="B720" s="246" t="s">
        <v>2519</v>
      </c>
      <c r="C720" s="247" t="s">
        <v>2566</v>
      </c>
      <c r="D720" s="247" t="s">
        <v>40</v>
      </c>
      <c r="E720" s="255" t="s">
        <v>2567</v>
      </c>
      <c r="F720" s="123">
        <f t="shared" si="1"/>
        <v>1</v>
      </c>
      <c r="G720" s="121" t="s">
        <v>2568</v>
      </c>
      <c r="H720" s="12" t="s">
        <v>2569</v>
      </c>
      <c r="I720" s="192" t="str">
        <f>IFERROR(__xludf.DUMMYFUNCTION("regexreplace(lower(C720), ""_"", """")"),"discontinueother")</f>
        <v>discontinueother</v>
      </c>
      <c r="J720" s="192" t="b">
        <f t="shared" si="48"/>
        <v>1</v>
      </c>
      <c r="K720" s="192" t="str">
        <f>IFERROR(__xludf.DUMMYFUNCTION("regexreplace(G720, ""_"", """")"),"discontinueother")</f>
        <v>discontinueother</v>
      </c>
      <c r="L7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""$1$2"")"),"discontinue_other")</f>
        <v>discontinue_other</v>
      </c>
      <c r="M720" s="257"/>
      <c r="N720" s="61" t="s">
        <v>7821</v>
      </c>
      <c r="O720" s="257"/>
      <c r="P720" s="255" t="s">
        <v>2570</v>
      </c>
      <c r="Q720" s="258"/>
      <c r="R720" s="258"/>
      <c r="S720" s="258"/>
      <c r="T720" s="257"/>
      <c r="U720" s="257"/>
      <c r="V720" s="257"/>
      <c r="W720" s="257"/>
      <c r="X720" s="257"/>
      <c r="Y720" s="257"/>
      <c r="Z720" s="257"/>
    </row>
    <row r="721">
      <c r="A721" s="33"/>
      <c r="B721" s="246" t="s">
        <v>2519</v>
      </c>
      <c r="C721" s="247" t="s">
        <v>2571</v>
      </c>
      <c r="D721" s="247" t="s">
        <v>16</v>
      </c>
      <c r="E721" s="255" t="s">
        <v>2572</v>
      </c>
      <c r="F721" s="123">
        <f t="shared" si="1"/>
        <v>2</v>
      </c>
      <c r="G721" s="121" t="s">
        <v>2573</v>
      </c>
      <c r="H721" s="12"/>
      <c r="I721" s="192" t="str">
        <f>IFERROR(__xludf.DUMMYFUNCTION("regexreplace(lower(C721), ""_"", """")"),"discontinueothertext")</f>
        <v>discontinueothertext</v>
      </c>
      <c r="J721" s="192" t="b">
        <f t="shared" si="48"/>
        <v>1</v>
      </c>
      <c r="K721" s="192" t="str">
        <f>IFERROR(__xludf.DUMMYFUNCTION("regexreplace(G721, ""_"", """")"),"discontinueothertext")</f>
        <v>discontinueothertext</v>
      </c>
      <c r="L7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""$1$2"")"),"discontinue_other_text")</f>
        <v>discontinue_other_text</v>
      </c>
      <c r="M721" s="257"/>
      <c r="N721" s="255"/>
      <c r="O721" s="257"/>
      <c r="P721" s="255" t="s">
        <v>2574</v>
      </c>
      <c r="Q721" s="255" t="s">
        <v>2575</v>
      </c>
      <c r="R721" s="258"/>
      <c r="S721" s="258"/>
      <c r="T721" s="257"/>
      <c r="U721" s="257"/>
      <c r="V721" s="257"/>
      <c r="W721" s="257"/>
      <c r="X721" s="257"/>
      <c r="Y721" s="257"/>
      <c r="Z721" s="257"/>
    </row>
    <row r="722">
      <c r="A722" s="33"/>
      <c r="B722" s="33"/>
      <c r="C722" s="12"/>
      <c r="D722" s="12"/>
      <c r="E722" s="15"/>
      <c r="F722" s="123">
        <f t="shared" si="1"/>
        <v>0</v>
      </c>
      <c r="G722" s="12"/>
      <c r="H722" s="12"/>
      <c r="I722" s="12"/>
      <c r="J722" s="12"/>
      <c r="K722" s="12"/>
      <c r="L722" s="12"/>
      <c r="N722" s="15"/>
      <c r="P722" s="15"/>
      <c r="Q722" s="15"/>
      <c r="R722" s="88"/>
      <c r="S722" s="88"/>
    </row>
    <row r="723">
      <c r="A723" s="33"/>
      <c r="B723" s="33"/>
      <c r="C723" s="12"/>
      <c r="D723" s="39"/>
      <c r="E723" s="15"/>
      <c r="F723" s="123">
        <f t="shared" si="1"/>
        <v>0</v>
      </c>
      <c r="G723" s="12"/>
      <c r="H723" s="12"/>
      <c r="I723" s="12"/>
      <c r="J723" s="12"/>
      <c r="K723" s="12"/>
      <c r="L723" s="12"/>
      <c r="N723" s="15"/>
      <c r="P723" s="15"/>
      <c r="Q723" s="15"/>
      <c r="R723" s="88"/>
      <c r="S723" s="88"/>
    </row>
    <row r="724">
      <c r="A724" s="246" t="s">
        <v>2576</v>
      </c>
      <c r="B724" s="246" t="s">
        <v>703</v>
      </c>
      <c r="C724" s="247" t="s">
        <v>2577</v>
      </c>
      <c r="D724" s="266" t="s">
        <v>31</v>
      </c>
      <c r="E724" s="255" t="s">
        <v>2578</v>
      </c>
      <c r="F724" s="123">
        <f t="shared" si="1"/>
        <v>2</v>
      </c>
      <c r="G724" s="247" t="s">
        <v>7822</v>
      </c>
      <c r="H724" s="12"/>
      <c r="I724" s="247" t="str">
        <f>IFERROR(__xludf.DUMMYFUNCTION("regexreplace(lower(C724), ""_"", """")"),"posttemperaturetimeslot")</f>
        <v>posttemperaturetimeslot</v>
      </c>
      <c r="J724" s="247" t="b">
        <f t="shared" ref="J724:J730" si="49">exact(I724, K724)</f>
        <v>0</v>
      </c>
      <c r="K724" s="247" t="str">
        <f>IFERROR(__xludf.DUMMYFUNCTION("regexreplace(G724, ""_"", """")"),"posttreattemperatureinterval")</f>
        <v>posttreattemperatureinterval</v>
      </c>
      <c r="L72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""$1$2"")"),"post__temperature_time_slot")</f>
        <v>post__temperature_time_slot</v>
      </c>
      <c r="M724" s="257"/>
      <c r="N724" s="255"/>
      <c r="O724" s="257"/>
      <c r="P724" s="255" t="s">
        <v>2580</v>
      </c>
      <c r="Q724" s="255" t="s">
        <v>2581</v>
      </c>
      <c r="R724" s="258"/>
      <c r="S724" s="258"/>
      <c r="T724" s="257"/>
      <c r="U724" s="257"/>
      <c r="V724" s="257"/>
      <c r="W724" s="257"/>
      <c r="X724" s="257"/>
      <c r="Y724" s="257"/>
      <c r="Z724" s="257"/>
    </row>
    <row r="725">
      <c r="A725" s="246"/>
      <c r="B725" s="246" t="s">
        <v>703</v>
      </c>
      <c r="C725" s="247" t="s">
        <v>2582</v>
      </c>
      <c r="D725" s="247" t="s">
        <v>26</v>
      </c>
      <c r="E725" s="259" t="s">
        <v>2583</v>
      </c>
      <c r="F725" s="123">
        <f t="shared" si="1"/>
        <v>2</v>
      </c>
      <c r="G725" s="247" t="s">
        <v>7823</v>
      </c>
      <c r="H725" s="12"/>
      <c r="I725" s="247" t="str">
        <f>IFERROR(__xludf.DUMMYFUNCTION("regexreplace(lower(C725), ""_"", """")"),"posttemperaturedate")</f>
        <v>posttemperaturedate</v>
      </c>
      <c r="J725" s="247" t="b">
        <f t="shared" si="49"/>
        <v>0</v>
      </c>
      <c r="K725" s="247" t="str">
        <f>IFERROR(__xludf.DUMMYFUNCTION("regexreplace(G725, ""_"", """")"),"posttreattemperaturedate")</f>
        <v>posttreattemperaturedate</v>
      </c>
      <c r="L72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""$1$2"")"),"post__temperature_date")</f>
        <v>post__temperature_date</v>
      </c>
      <c r="M725" s="257"/>
      <c r="N725" s="248" t="s">
        <v>7416</v>
      </c>
      <c r="O725" s="257"/>
      <c r="P725" s="255" t="s">
        <v>2585</v>
      </c>
      <c r="Q725" s="255" t="s">
        <v>2586</v>
      </c>
      <c r="R725" s="258"/>
      <c r="S725" s="258"/>
      <c r="T725" s="257"/>
      <c r="U725" s="257"/>
      <c r="V725" s="257"/>
      <c r="W725" s="257"/>
      <c r="X725" s="257"/>
      <c r="Y725" s="257"/>
      <c r="Z725" s="257"/>
    </row>
    <row r="726">
      <c r="A726" s="246"/>
      <c r="B726" s="246" t="s">
        <v>703</v>
      </c>
      <c r="C726" s="247" t="s">
        <v>2587</v>
      </c>
      <c r="D726" s="247" t="s">
        <v>145</v>
      </c>
      <c r="E726" s="259" t="s">
        <v>2588</v>
      </c>
      <c r="F726" s="123">
        <f t="shared" si="1"/>
        <v>2</v>
      </c>
      <c r="G726" s="247" t="s">
        <v>7824</v>
      </c>
      <c r="H726" s="12"/>
      <c r="I726" s="247" t="str">
        <f>IFERROR(__xludf.DUMMYFUNCTION("regexreplace(lower(C726), ""_"", """")"),"posttemperaturetime")</f>
        <v>posttemperaturetime</v>
      </c>
      <c r="J726" s="247" t="b">
        <f t="shared" si="49"/>
        <v>0</v>
      </c>
      <c r="K726" s="247" t="str">
        <f>IFERROR(__xludf.DUMMYFUNCTION("regexreplace(G726, ""_"", """")"),"posttreattemperaturetime")</f>
        <v>posttreattemperaturetime</v>
      </c>
      <c r="L72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""$1$2"")"),"post__temperature_time")</f>
        <v>post__temperature_time</v>
      </c>
      <c r="M726" s="257"/>
      <c r="N726" s="255"/>
      <c r="O726" s="257"/>
      <c r="P726" s="255" t="s">
        <v>2590</v>
      </c>
      <c r="Q726" s="255" t="s">
        <v>2591</v>
      </c>
      <c r="R726" s="258"/>
      <c r="S726" s="258"/>
      <c r="T726" s="257"/>
      <c r="U726" s="257"/>
      <c r="V726" s="257"/>
      <c r="W726" s="257"/>
      <c r="X726" s="257"/>
      <c r="Y726" s="257"/>
      <c r="Z726" s="257"/>
    </row>
    <row r="727">
      <c r="A727" s="246"/>
      <c r="B727" s="246" t="s">
        <v>703</v>
      </c>
      <c r="C727" s="247" t="s">
        <v>2592</v>
      </c>
      <c r="D727" s="247" t="s">
        <v>483</v>
      </c>
      <c r="E727" s="255" t="s">
        <v>2593</v>
      </c>
      <c r="F727" s="123">
        <f t="shared" si="1"/>
        <v>2</v>
      </c>
      <c r="G727" s="247" t="s">
        <v>7825</v>
      </c>
      <c r="H727" s="12"/>
      <c r="I727" s="247" t="str">
        <f>IFERROR(__xludf.DUMMYFUNCTION("regexreplace(lower(C727), ""_"", """")"),"postskintemperaturec")</f>
        <v>postskintemperaturec</v>
      </c>
      <c r="J727" s="247" t="b">
        <f t="shared" si="49"/>
        <v>0</v>
      </c>
      <c r="K727" s="247" t="str">
        <f>IFERROR(__xludf.DUMMYFUNCTION("regexreplace(G727, ""_"", """")"),"posttreatskintemperature")</f>
        <v>posttreatskintemperature</v>
      </c>
      <c r="L72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""$1$2"")"),"post__skin_temperature__c")</f>
        <v>post__skin_temperature__c</v>
      </c>
      <c r="M727" s="257"/>
      <c r="N727" s="255" t="s">
        <v>7444</v>
      </c>
      <c r="O727" s="257"/>
      <c r="P727" s="255" t="s">
        <v>2595</v>
      </c>
      <c r="Q727" s="255" t="s">
        <v>2596</v>
      </c>
      <c r="R727" s="258"/>
      <c r="S727" s="258"/>
      <c r="T727" s="257"/>
      <c r="U727" s="257"/>
      <c r="V727" s="257"/>
      <c r="W727" s="257"/>
      <c r="X727" s="257"/>
      <c r="Y727" s="257"/>
      <c r="Z727" s="257"/>
    </row>
    <row r="728">
      <c r="A728" s="246"/>
      <c r="B728" s="246" t="s">
        <v>703</v>
      </c>
      <c r="C728" s="247" t="s">
        <v>2597</v>
      </c>
      <c r="D728" s="247" t="s">
        <v>483</v>
      </c>
      <c r="E728" s="255" t="s">
        <v>2598</v>
      </c>
      <c r="F728" s="123">
        <f t="shared" si="1"/>
        <v>2</v>
      </c>
      <c r="G728" s="247" t="s">
        <v>7826</v>
      </c>
      <c r="H728" s="12"/>
      <c r="I728" s="247" t="str">
        <f>IFERROR(__xludf.DUMMYFUNCTION("regexreplace(lower(C728), ""_"", """")"),"postaxillarytemperaturec")</f>
        <v>postaxillarytemperaturec</v>
      </c>
      <c r="J728" s="247" t="b">
        <f t="shared" si="49"/>
        <v>0</v>
      </c>
      <c r="K728" s="247" t="str">
        <f>IFERROR(__xludf.DUMMYFUNCTION("regexreplace(G728, ""_"", """")"),"posttreataxillarytemperaturec")</f>
        <v>posttreataxillarytemperaturec</v>
      </c>
      <c r="L72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""$1$2"")"),"post__axillary_temperature__c")</f>
        <v>post__axillary_temperature__c</v>
      </c>
      <c r="M728" s="257"/>
      <c r="N728" s="255" t="s">
        <v>7444</v>
      </c>
      <c r="O728" s="257"/>
      <c r="P728" s="255" t="s">
        <v>2600</v>
      </c>
      <c r="Q728" s="255" t="s">
        <v>2601</v>
      </c>
      <c r="R728" s="258"/>
      <c r="S728" s="258"/>
      <c r="T728" s="257"/>
      <c r="U728" s="257"/>
      <c r="V728" s="257"/>
      <c r="W728" s="257"/>
      <c r="X728" s="257"/>
      <c r="Y728" s="257"/>
      <c r="Z728" s="257"/>
    </row>
    <row r="729">
      <c r="A729" s="246"/>
      <c r="B729" s="246" t="s">
        <v>703</v>
      </c>
      <c r="C729" s="247" t="s">
        <v>2602</v>
      </c>
      <c r="D729" s="247" t="s">
        <v>40</v>
      </c>
      <c r="E729" s="259" t="s">
        <v>2603</v>
      </c>
      <c r="F729" s="123">
        <f t="shared" si="1"/>
        <v>1</v>
      </c>
      <c r="G729" s="247" t="s">
        <v>7827</v>
      </c>
      <c r="H729" s="12"/>
      <c r="I729" s="247" t="str">
        <f>IFERROR(__xludf.DUMMYFUNCTION("regexreplace(lower(C729), ""_"", """")"),"postalterationskinintegrity")</f>
        <v>postalterationskinintegrity</v>
      </c>
      <c r="J729" s="247" t="b">
        <f t="shared" si="49"/>
        <v>0</v>
      </c>
      <c r="K729" s="247" t="str">
        <f>IFERROR(__xludf.DUMMYFUNCTION("regexreplace(G729, ""_"", """")"),"posttreatalterationskinintegrity")</f>
        <v>posttreatalterationskinintegrity</v>
      </c>
      <c r="L72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""$1$2"")"),"post__alteration_skin_integrity")</f>
        <v>post__alteration_skin_integrity</v>
      </c>
      <c r="M729" s="257"/>
      <c r="N729" s="260"/>
      <c r="O729" s="257"/>
      <c r="P729" s="260"/>
      <c r="Q729" s="255" t="s">
        <v>2605</v>
      </c>
      <c r="R729" s="258"/>
      <c r="S729" s="258"/>
      <c r="T729" s="257"/>
      <c r="U729" s="257"/>
      <c r="V729" s="257"/>
      <c r="W729" s="257"/>
      <c r="X729" s="257"/>
      <c r="Y729" s="257"/>
      <c r="Z729" s="257"/>
    </row>
    <row r="730">
      <c r="A730" s="246"/>
      <c r="B730" s="246" t="s">
        <v>703</v>
      </c>
      <c r="C730" s="247" t="s">
        <v>2606</v>
      </c>
      <c r="D730" s="247" t="s">
        <v>40</v>
      </c>
      <c r="E730" s="259" t="s">
        <v>2607</v>
      </c>
      <c r="F730" s="123">
        <f t="shared" si="1"/>
        <v>1</v>
      </c>
      <c r="G730" s="247" t="s">
        <v>7828</v>
      </c>
      <c r="H730" s="12"/>
      <c r="I730" s="247" t="str">
        <f>IFERROR(__xludf.DUMMYFUNCTION("regexreplace(lower(C730), ""_"", """")"),"postshiver")</f>
        <v>postshiver</v>
      </c>
      <c r="J730" s="247" t="b">
        <f t="shared" si="49"/>
        <v>0</v>
      </c>
      <c r="K730" s="247" t="str">
        <f>IFERROR(__xludf.DUMMYFUNCTION("regexreplace(G730, ""_"", """")"),"posttreatshiver")</f>
        <v>posttreatshiver</v>
      </c>
      <c r="L73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""$1$2"")"),"post__shiver")</f>
        <v>post__shiver</v>
      </c>
      <c r="M730" s="257"/>
      <c r="N730" s="260"/>
      <c r="O730" s="257"/>
      <c r="P730" s="260"/>
      <c r="Q730" s="255" t="s">
        <v>2609</v>
      </c>
      <c r="R730" s="258"/>
      <c r="S730" s="258"/>
      <c r="T730" s="257"/>
      <c r="U730" s="257"/>
      <c r="V730" s="257"/>
      <c r="W730" s="257"/>
      <c r="X730" s="257"/>
      <c r="Y730" s="257"/>
      <c r="Z730" s="257"/>
    </row>
    <row r="731">
      <c r="A731" s="33"/>
      <c r="B731" s="33"/>
      <c r="C731" s="12"/>
      <c r="D731" s="12"/>
      <c r="E731" s="15"/>
      <c r="F731" s="123">
        <f t="shared" si="1"/>
        <v>0</v>
      </c>
      <c r="G731" s="12"/>
      <c r="H731" s="12"/>
      <c r="I731" s="12"/>
      <c r="J731" s="12"/>
      <c r="K731" s="12"/>
      <c r="L731" s="12"/>
      <c r="N731" s="40"/>
      <c r="P731" s="40"/>
      <c r="Q731" s="15"/>
      <c r="R731" s="88"/>
      <c r="S731" s="88"/>
    </row>
    <row r="732">
      <c r="A732" s="246" t="s">
        <v>2576</v>
      </c>
      <c r="B732" s="329" t="s">
        <v>703</v>
      </c>
      <c r="C732" s="154" t="s">
        <v>2610</v>
      </c>
      <c r="D732" s="154" t="s">
        <v>40</v>
      </c>
      <c r="E732" s="151" t="s">
        <v>2611</v>
      </c>
      <c r="F732" s="123">
        <f t="shared" si="1"/>
        <v>1</v>
      </c>
      <c r="G732" s="154" t="s">
        <v>2612</v>
      </c>
      <c r="H732" s="12"/>
      <c r="I732" s="154" t="str">
        <f>IFERROR(__xludf.DUMMYFUNCTION("regexreplace(lower(C732), ""_"", """")"),"normothermiaatendintervention")</f>
        <v>normothermiaatendintervention</v>
      </c>
      <c r="J732" s="154" t="b">
        <f t="shared" ref="J732:J738" si="50">exact(I732, K732)</f>
        <v>1</v>
      </c>
      <c r="K732" s="154" t="str">
        <f>IFERROR(__xludf.DUMMYFUNCTION("regexreplace(G732, ""_"", """")"),"normothermiaatendintervention")</f>
        <v>normothermiaatendintervention</v>
      </c>
      <c r="L732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""$1$2"")"),"normothermia_at_end_intervention")</f>
        <v>normothermia_at_end_intervention</v>
      </c>
      <c r="M732" s="193"/>
      <c r="N732" s="151"/>
      <c r="O732" s="193"/>
      <c r="P732" s="199"/>
      <c r="Q732" s="151" t="s">
        <v>2613</v>
      </c>
      <c r="R732" s="207"/>
      <c r="S732" s="207"/>
      <c r="T732" s="193"/>
      <c r="U732" s="193"/>
      <c r="V732" s="193"/>
      <c r="W732" s="193"/>
      <c r="X732" s="193"/>
      <c r="Y732" s="193"/>
      <c r="Z732" s="193"/>
    </row>
    <row r="733">
      <c r="A733" s="329"/>
      <c r="B733" s="329" t="s">
        <v>703</v>
      </c>
      <c r="C733" s="154" t="s">
        <v>2614</v>
      </c>
      <c r="D733" s="154" t="s">
        <v>26</v>
      </c>
      <c r="E733" s="198" t="s">
        <v>2615</v>
      </c>
      <c r="F733" s="123">
        <f t="shared" si="1"/>
        <v>1</v>
      </c>
      <c r="G733" s="154" t="s">
        <v>2616</v>
      </c>
      <c r="H733" s="12"/>
      <c r="I733" s="154" t="str">
        <f>IFERROR(__xludf.DUMMYFUNCTION("regexreplace(lower(C733), ""_"", """")"),"normothermiadate")</f>
        <v>normothermiadate</v>
      </c>
      <c r="J733" s="154" t="b">
        <f t="shared" si="50"/>
        <v>1</v>
      </c>
      <c r="K733" s="154" t="str">
        <f>IFERROR(__xludf.DUMMYFUNCTION("regexreplace(G733, ""_"", """")"),"normothermiadate")</f>
        <v>normothermiadate</v>
      </c>
      <c r="L733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""$1$2"")"),"normothermia_date")</f>
        <v>normothermia_date</v>
      </c>
      <c r="M733" s="193"/>
      <c r="N733" s="204" t="s">
        <v>7416</v>
      </c>
      <c r="O733" s="193"/>
      <c r="P733" s="199"/>
      <c r="Q733" s="151" t="s">
        <v>2617</v>
      </c>
      <c r="R733" s="207"/>
      <c r="S733" s="207"/>
      <c r="T733" s="193"/>
      <c r="U733" s="193"/>
      <c r="V733" s="193"/>
      <c r="W733" s="193"/>
      <c r="X733" s="193"/>
      <c r="Y733" s="193"/>
      <c r="Z733" s="193"/>
    </row>
    <row r="734">
      <c r="A734" s="329"/>
      <c r="B734" s="329" t="s">
        <v>703</v>
      </c>
      <c r="C734" s="154" t="s">
        <v>2618</v>
      </c>
      <c r="D734" s="154" t="s">
        <v>145</v>
      </c>
      <c r="E734" s="198" t="s">
        <v>2619</v>
      </c>
      <c r="F734" s="123">
        <f t="shared" si="1"/>
        <v>1</v>
      </c>
      <c r="G734" s="154" t="s">
        <v>2620</v>
      </c>
      <c r="H734" s="12"/>
      <c r="I734" s="154" t="str">
        <f>IFERROR(__xludf.DUMMYFUNCTION("regexreplace(lower(C734), ""_"", """")"),"normothermiatime")</f>
        <v>normothermiatime</v>
      </c>
      <c r="J734" s="154" t="b">
        <f t="shared" si="50"/>
        <v>1</v>
      </c>
      <c r="K734" s="154" t="str">
        <f>IFERROR(__xludf.DUMMYFUNCTION("regexreplace(G734, ""_"", """")"),"normothermiatime")</f>
        <v>normothermiatime</v>
      </c>
      <c r="L734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""$1$2"")"),"normothermia_time")</f>
        <v>normothermia_time</v>
      </c>
      <c r="M734" s="193"/>
      <c r="N734" s="151"/>
      <c r="O734" s="193"/>
      <c r="P734" s="199"/>
      <c r="Q734" s="151" t="s">
        <v>2621</v>
      </c>
      <c r="R734" s="207"/>
      <c r="S734" s="207"/>
      <c r="T734" s="193"/>
      <c r="U734" s="193"/>
      <c r="V734" s="193"/>
      <c r="W734" s="193"/>
      <c r="X734" s="193"/>
      <c r="Y734" s="193"/>
      <c r="Z734" s="193"/>
    </row>
    <row r="735">
      <c r="A735" s="329"/>
      <c r="B735" s="329" t="s">
        <v>703</v>
      </c>
      <c r="C735" s="154" t="s">
        <v>2622</v>
      </c>
      <c r="D735" s="154" t="s">
        <v>483</v>
      </c>
      <c r="E735" s="151" t="s">
        <v>2623</v>
      </c>
      <c r="F735" s="123">
        <f t="shared" si="1"/>
        <v>1</v>
      </c>
      <c r="G735" s="154" t="s">
        <v>2624</v>
      </c>
      <c r="H735" s="12"/>
      <c r="I735" s="154" t="str">
        <f>IFERROR(__xludf.DUMMYFUNCTION("regexreplace(lower(C735), ""_"", """")"),"normothermiaaxillarytemperaturec")</f>
        <v>normothermiaaxillarytemperaturec</v>
      </c>
      <c r="J735" s="154" t="b">
        <f t="shared" si="50"/>
        <v>1</v>
      </c>
      <c r="K735" s="154" t="str">
        <f>IFERROR(__xludf.DUMMYFUNCTION("regexreplace(G735, ""_"", """")"),"normothermiaaxillarytemperaturec")</f>
        <v>normothermiaaxillarytemperaturec</v>
      </c>
      <c r="L735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""$1$2"")"),"normothermia_axillary_temperature__c")</f>
        <v>normothermia_axillary_temperature__c</v>
      </c>
      <c r="M735" s="193"/>
      <c r="N735" s="151" t="s">
        <v>7444</v>
      </c>
      <c r="O735" s="193"/>
      <c r="P735" s="199"/>
      <c r="Q735" s="151" t="s">
        <v>2625</v>
      </c>
      <c r="R735" s="207"/>
      <c r="S735" s="207"/>
      <c r="T735" s="193"/>
      <c r="U735" s="193"/>
      <c r="V735" s="193"/>
      <c r="W735" s="193"/>
      <c r="X735" s="193"/>
      <c r="Y735" s="193"/>
      <c r="Z735" s="193"/>
    </row>
    <row r="736">
      <c r="A736" s="329"/>
      <c r="B736" s="329" t="s">
        <v>703</v>
      </c>
      <c r="C736" s="154" t="s">
        <v>2626</v>
      </c>
      <c r="D736" s="154" t="s">
        <v>16</v>
      </c>
      <c r="E736" s="151" t="s">
        <v>2627</v>
      </c>
      <c r="F736" s="123">
        <f t="shared" si="1"/>
        <v>1</v>
      </c>
      <c r="G736" s="154" t="s">
        <v>2628</v>
      </c>
      <c r="H736" s="12"/>
      <c r="I736" s="154" t="str">
        <f>IFERROR(__xludf.DUMMYFUNCTION("regexreplace(lower(C736), ""_"", """")"),"nonormothermiareason")</f>
        <v>nonormothermiareason</v>
      </c>
      <c r="J736" s="154" t="b">
        <f t="shared" si="50"/>
        <v>1</v>
      </c>
      <c r="K736" s="154" t="str">
        <f>IFERROR(__xludf.DUMMYFUNCTION("regexreplace(G736, ""_"", """")"),"nonormothermiareason")</f>
        <v>nonormothermiareason</v>
      </c>
      <c r="L736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""$1$2"")"),"no_normothermia_reason")</f>
        <v>no_normothermia_reason</v>
      </c>
      <c r="M736" s="193"/>
      <c r="N736" s="151"/>
      <c r="O736" s="193"/>
      <c r="P736" s="199"/>
      <c r="Q736" s="151" t="s">
        <v>2629</v>
      </c>
      <c r="R736" s="207"/>
      <c r="S736" s="207"/>
      <c r="T736" s="193"/>
      <c r="U736" s="193"/>
      <c r="V736" s="193"/>
      <c r="W736" s="193"/>
      <c r="X736" s="193"/>
      <c r="Y736" s="193"/>
      <c r="Z736" s="193"/>
    </row>
    <row r="737">
      <c r="A737" s="329"/>
      <c r="B737" s="329" t="s">
        <v>703</v>
      </c>
      <c r="C737" s="154" t="s">
        <v>2630</v>
      </c>
      <c r="D737" s="154" t="s">
        <v>2630</v>
      </c>
      <c r="E737" s="151" t="s">
        <v>2631</v>
      </c>
      <c r="F737" s="123">
        <f t="shared" si="1"/>
        <v>1</v>
      </c>
      <c r="G737" s="154" t="s">
        <v>2632</v>
      </c>
      <c r="H737" s="12"/>
      <c r="I737" s="154" t="str">
        <f>IFERROR(__xludf.DUMMYFUNCTION("regexreplace(lower(C737), ""_"", """")"),"coolafterintervention")</f>
        <v>coolafterintervention</v>
      </c>
      <c r="J737" s="154" t="b">
        <f t="shared" si="50"/>
        <v>1</v>
      </c>
      <c r="K737" s="154" t="str">
        <f>IFERROR(__xludf.DUMMYFUNCTION("regexreplace(G737, ""_"", """")"),"coolafterintervention")</f>
        <v>coolafterintervention</v>
      </c>
      <c r="L737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""$1$2"")"),"cool_after_intervention")</f>
        <v>cool_after_intervention</v>
      </c>
      <c r="M737" s="193"/>
      <c r="N737" s="151"/>
      <c r="O737" s="193"/>
      <c r="P737" s="199"/>
      <c r="Q737" s="151" t="s">
        <v>2633</v>
      </c>
      <c r="R737" s="207"/>
      <c r="S737" s="207"/>
      <c r="T737" s="193"/>
      <c r="U737" s="193"/>
      <c r="V737" s="193"/>
      <c r="W737" s="193"/>
      <c r="X737" s="193"/>
      <c r="Y737" s="193"/>
      <c r="Z737" s="193"/>
    </row>
    <row r="738">
      <c r="A738" s="329"/>
      <c r="B738" s="329" t="s">
        <v>703</v>
      </c>
      <c r="C738" s="154" t="s">
        <v>2634</v>
      </c>
      <c r="D738" s="154" t="s">
        <v>16</v>
      </c>
      <c r="E738" s="198" t="s">
        <v>2635</v>
      </c>
      <c r="F738" s="123">
        <f t="shared" si="1"/>
        <v>1</v>
      </c>
      <c r="G738" s="154" t="s">
        <v>2636</v>
      </c>
      <c r="H738" s="12"/>
      <c r="I738" s="154" t="str">
        <f>IFERROR(__xludf.DUMMYFUNCTION("regexreplace(lower(C738), ""_"", """")"),"coolafterinterventiontext")</f>
        <v>coolafterinterventiontext</v>
      </c>
      <c r="J738" s="154" t="b">
        <f t="shared" si="50"/>
        <v>1</v>
      </c>
      <c r="K738" s="154" t="str">
        <f>IFERROR(__xludf.DUMMYFUNCTION("regexreplace(G738, ""_"", """")"),"coolafterinterventiontext")</f>
        <v>coolafterinterventiontext</v>
      </c>
      <c r="L738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""$1$2"")"),"cool_after_intervention_text")</f>
        <v>cool_after_intervention_text</v>
      </c>
      <c r="M738" s="193"/>
      <c r="N738" s="151"/>
      <c r="O738" s="193"/>
      <c r="P738" s="199"/>
      <c r="Q738" s="151" t="s">
        <v>2637</v>
      </c>
      <c r="R738" s="207"/>
      <c r="S738" s="207"/>
      <c r="T738" s="193"/>
      <c r="U738" s="193"/>
      <c r="V738" s="193"/>
      <c r="W738" s="193"/>
      <c r="X738" s="193"/>
      <c r="Y738" s="193"/>
      <c r="Z738" s="193"/>
    </row>
    <row r="739">
      <c r="A739" s="33"/>
      <c r="B739" s="15"/>
      <c r="C739" s="12"/>
      <c r="D739" s="12"/>
      <c r="E739" s="15"/>
      <c r="F739" s="123">
        <f t="shared" si="1"/>
        <v>0</v>
      </c>
      <c r="G739" s="12"/>
      <c r="H739" s="12"/>
      <c r="I739" s="12"/>
      <c r="J739" s="12"/>
      <c r="K739" s="12"/>
      <c r="L739" s="12"/>
      <c r="N739" s="15"/>
      <c r="P739" s="15"/>
      <c r="Q739" s="40"/>
      <c r="R739" s="88"/>
      <c r="S739" s="88"/>
    </row>
    <row r="740">
      <c r="A740" s="246" t="s">
        <v>2576</v>
      </c>
      <c r="B740" s="329" t="s">
        <v>1482</v>
      </c>
      <c r="C740" s="154" t="s">
        <v>2638</v>
      </c>
      <c r="D740" s="154" t="s">
        <v>483</v>
      </c>
      <c r="E740" s="151" t="s">
        <v>2639</v>
      </c>
      <c r="F740" s="123">
        <f t="shared" si="1"/>
        <v>1</v>
      </c>
      <c r="G740" s="154" t="s">
        <v>7829</v>
      </c>
      <c r="H740" s="12"/>
      <c r="I740" s="154" t="str">
        <f>IFERROR(__xludf.DUMMYFUNCTION("regexreplace(lower(C740), ""_"", """")"),"postbloodvalueastsgotuperl")</f>
        <v>postbloodvalueastsgotuperl</v>
      </c>
      <c r="J740" s="154" t="b">
        <f t="shared" ref="J740:J782" si="51">exact(I740, K740)</f>
        <v>0</v>
      </c>
      <c r="K740" s="154" t="str">
        <f>IFERROR(__xludf.DUMMYFUNCTION("regexreplace(G740, ""_"", """")"),"posttreatbloodvalueastsgotuperl")</f>
        <v>posttreatbloodvalueastsgotuperl</v>
      </c>
      <c r="L740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""$1$2"")"),"post__blood_value_ast_sgot__uperl")</f>
        <v>post__blood_value_ast_sgot__uperl</v>
      </c>
      <c r="M740" s="193"/>
      <c r="N740" s="193"/>
      <c r="O740" s="193"/>
      <c r="P740" s="193"/>
      <c r="Q740" s="151" t="s">
        <v>2641</v>
      </c>
      <c r="R740" s="207"/>
      <c r="S740" s="207"/>
      <c r="T740" s="193"/>
      <c r="U740" s="193"/>
      <c r="V740" s="193"/>
      <c r="W740" s="193"/>
      <c r="X740" s="193"/>
      <c r="Y740" s="193"/>
      <c r="Z740" s="193"/>
    </row>
    <row r="741">
      <c r="A741" s="329"/>
      <c r="B741" s="329" t="s">
        <v>1482</v>
      </c>
      <c r="C741" s="154" t="s">
        <v>2642</v>
      </c>
      <c r="D741" s="154" t="s">
        <v>26</v>
      </c>
      <c r="E741" s="151" t="s">
        <v>2643</v>
      </c>
      <c r="F741" s="123">
        <f t="shared" si="1"/>
        <v>1</v>
      </c>
      <c r="G741" s="154" t="s">
        <v>7830</v>
      </c>
      <c r="H741" s="12"/>
      <c r="I741" s="154" t="str">
        <f>IFERROR(__xludf.DUMMYFUNCTION("regexreplace(lower(C741), ""_"", """")"),"postbloodvalueastsgotuperldate")</f>
        <v>postbloodvalueastsgotuperldate</v>
      </c>
      <c r="J741" s="154" t="b">
        <f t="shared" si="51"/>
        <v>0</v>
      </c>
      <c r="K741" s="154" t="str">
        <f>IFERROR(__xludf.DUMMYFUNCTION("regexreplace(G741, ""_"", """")"),"posttreatbloodvalueastsgotuperldate")</f>
        <v>posttreatbloodvalueastsgotuperldate</v>
      </c>
      <c r="L741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""$1$2"")"),"post__blood_value_ast_sgot__uperl_date")</f>
        <v>post__blood_value_ast_sgot__uperl_date</v>
      </c>
      <c r="M741" s="193"/>
      <c r="N741" s="193"/>
      <c r="O741" s="193"/>
      <c r="P741" s="193"/>
      <c r="Q741" s="151" t="s">
        <v>2645</v>
      </c>
      <c r="R741" s="207"/>
      <c r="S741" s="207"/>
      <c r="T741" s="193"/>
      <c r="U741" s="193"/>
      <c r="V741" s="193"/>
      <c r="W741" s="193"/>
      <c r="X741" s="193"/>
      <c r="Y741" s="193"/>
      <c r="Z741" s="193"/>
    </row>
    <row r="742">
      <c r="A742" s="329"/>
      <c r="B742" s="329" t="s">
        <v>1482</v>
      </c>
      <c r="C742" s="154" t="s">
        <v>2646</v>
      </c>
      <c r="D742" s="154" t="s">
        <v>483</v>
      </c>
      <c r="E742" s="151" t="s">
        <v>2647</v>
      </c>
      <c r="F742" s="123">
        <f t="shared" si="1"/>
        <v>1</v>
      </c>
      <c r="G742" s="154" t="s">
        <v>7831</v>
      </c>
      <c r="H742" s="12"/>
      <c r="I742" s="154" t="str">
        <f>IFERROR(__xludf.DUMMYFUNCTION("regexreplace(lower(C742), ""_"", """")"),"postbloodvaluealtsgptuperl")</f>
        <v>postbloodvaluealtsgptuperl</v>
      </c>
      <c r="J742" s="154" t="b">
        <f t="shared" si="51"/>
        <v>0</v>
      </c>
      <c r="K742" s="154" t="str">
        <f>IFERROR(__xludf.DUMMYFUNCTION("regexreplace(G742, ""_"", """")"),"posttreatbloodvaluealtsgptuperl")</f>
        <v>posttreatbloodvaluealtsgptuperl</v>
      </c>
      <c r="L742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""$1$2"")"),"post__blood_value_alt_sgpt__uperl")</f>
        <v>post__blood_value_alt_sgpt__uperl</v>
      </c>
      <c r="M742" s="193"/>
      <c r="N742" s="193"/>
      <c r="O742" s="193"/>
      <c r="P742" s="193"/>
      <c r="Q742" s="151" t="s">
        <v>2649</v>
      </c>
      <c r="R742" s="207"/>
      <c r="S742" s="207"/>
      <c r="T742" s="193"/>
      <c r="U742" s="193"/>
      <c r="V742" s="193"/>
      <c r="W742" s="193"/>
      <c r="X742" s="193"/>
      <c r="Y742" s="193"/>
      <c r="Z742" s="193"/>
    </row>
    <row r="743">
      <c r="A743" s="329"/>
      <c r="B743" s="329" t="s">
        <v>1482</v>
      </c>
      <c r="C743" s="154" t="s">
        <v>2650</v>
      </c>
      <c r="D743" s="154" t="s">
        <v>26</v>
      </c>
      <c r="E743" s="151" t="s">
        <v>2651</v>
      </c>
      <c r="F743" s="123">
        <f t="shared" si="1"/>
        <v>1</v>
      </c>
      <c r="G743" s="154" t="s">
        <v>7832</v>
      </c>
      <c r="H743" s="12"/>
      <c r="I743" s="154" t="str">
        <f>IFERROR(__xludf.DUMMYFUNCTION("regexreplace(lower(C743), ""_"", """")"),"postbloodvaluealtsgptuperldate")</f>
        <v>postbloodvaluealtsgptuperldate</v>
      </c>
      <c r="J743" s="154" t="b">
        <f t="shared" si="51"/>
        <v>0</v>
      </c>
      <c r="K743" s="154" t="str">
        <f>IFERROR(__xludf.DUMMYFUNCTION("regexreplace(G743, ""_"", """")"),"posttreatbloodvaluealtsgptuperldate")</f>
        <v>posttreatbloodvaluealtsgptuperldate</v>
      </c>
      <c r="L743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""$1$2"")"),"post__blood_value_alt_sgpt__uperl_date")</f>
        <v>post__blood_value_alt_sgpt__uperl_date</v>
      </c>
      <c r="M743" s="193"/>
      <c r="N743" s="193"/>
      <c r="O743" s="193"/>
      <c r="P743" s="193"/>
      <c r="Q743" s="151" t="s">
        <v>2653</v>
      </c>
      <c r="R743" s="207"/>
      <c r="S743" s="207"/>
      <c r="T743" s="193"/>
      <c r="U743" s="193"/>
      <c r="V743" s="193"/>
      <c r="W743" s="193"/>
      <c r="X743" s="193"/>
      <c r="Y743" s="193"/>
      <c r="Z743" s="193"/>
    </row>
    <row r="744">
      <c r="A744" s="329"/>
      <c r="B744" s="329" t="s">
        <v>1482</v>
      </c>
      <c r="C744" s="154" t="s">
        <v>2654</v>
      </c>
      <c r="D744" s="154" t="s">
        <v>483</v>
      </c>
      <c r="E744" s="194" t="s">
        <v>2655</v>
      </c>
      <c r="F744" s="123">
        <f t="shared" si="1"/>
        <v>1</v>
      </c>
      <c r="G744" s="154" t="s">
        <v>7833</v>
      </c>
      <c r="H744" s="12"/>
      <c r="I744" s="154" t="str">
        <f>IFERROR(__xludf.DUMMYFUNCTION("regexreplace(lower(C744), ""_"", """")"),"postbloodvaluetotalbilirubinmgperdl")</f>
        <v>postbloodvaluetotalbilirubinmgperdl</v>
      </c>
      <c r="J744" s="154" t="b">
        <f t="shared" si="51"/>
        <v>0</v>
      </c>
      <c r="K744" s="154" t="str">
        <f>IFERROR(__xludf.DUMMYFUNCTION("regexreplace(G744, ""_"", """")"),"posttreatbloodvaluetotalbilirubinmgperdl")</f>
        <v>posttreatbloodvaluetotalbilirubinmgperdl</v>
      </c>
      <c r="L744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""$1$2"")"),"post__blood_value_total_bilirubin__mgperdl")</f>
        <v>post__blood_value_total_bilirubin__mgperdl</v>
      </c>
      <c r="M744" s="193"/>
      <c r="N744" s="151"/>
      <c r="O744" s="193"/>
      <c r="P744" s="151"/>
      <c r="Q744" s="151" t="s">
        <v>2657</v>
      </c>
      <c r="R744" s="207"/>
      <c r="S744" s="207"/>
      <c r="T744" s="193"/>
      <c r="U744" s="193"/>
      <c r="V744" s="193"/>
      <c r="W744" s="193"/>
      <c r="X744" s="193"/>
      <c r="Y744" s="193"/>
      <c r="Z744" s="193"/>
    </row>
    <row r="745">
      <c r="A745" s="329"/>
      <c r="B745" s="329" t="s">
        <v>1482</v>
      </c>
      <c r="C745" s="154" t="s">
        <v>2658</v>
      </c>
      <c r="D745" s="154" t="s">
        <v>26</v>
      </c>
      <c r="E745" s="194" t="s">
        <v>2659</v>
      </c>
      <c r="F745" s="123">
        <f t="shared" si="1"/>
        <v>1</v>
      </c>
      <c r="G745" s="154" t="s">
        <v>7834</v>
      </c>
      <c r="H745" s="12"/>
      <c r="I745" s="154" t="str">
        <f>IFERROR(__xludf.DUMMYFUNCTION("regexreplace(lower(C745), ""_"", """")"),"postbloodvaluetotalbilirubinmgperdldate")</f>
        <v>postbloodvaluetotalbilirubinmgperdldate</v>
      </c>
      <c r="J745" s="154" t="b">
        <f t="shared" si="51"/>
        <v>0</v>
      </c>
      <c r="K745" s="154" t="str">
        <f>IFERROR(__xludf.DUMMYFUNCTION("regexreplace(G745, ""_"", """")"),"posttreatbloodvaluetotalbilirubinmgperdldate")</f>
        <v>posttreatbloodvaluetotalbilirubinmgperdldate</v>
      </c>
      <c r="L745" s="154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""$1$2"")"),"post__blood_value_total_bilirubin__mgperdl_date")</f>
        <v>post__blood_value_total_bilirubin__mgperdl_date</v>
      </c>
      <c r="M745" s="193"/>
      <c r="N745" s="151"/>
      <c r="O745" s="193"/>
      <c r="P745" s="151"/>
      <c r="Q745" s="151" t="s">
        <v>2661</v>
      </c>
      <c r="R745" s="207"/>
      <c r="S745" s="207"/>
      <c r="T745" s="193"/>
      <c r="U745" s="193"/>
      <c r="V745" s="193"/>
      <c r="W745" s="193"/>
      <c r="X745" s="193"/>
      <c r="Y745" s="193"/>
      <c r="Z745" s="193"/>
    </row>
    <row r="746">
      <c r="A746" s="33"/>
      <c r="B746" s="33"/>
      <c r="C746" s="12"/>
      <c r="D746" s="12"/>
      <c r="E746" s="15"/>
      <c r="F746" s="123">
        <f t="shared" si="1"/>
        <v>0</v>
      </c>
      <c r="G746" s="12" t="s">
        <v>851</v>
      </c>
      <c r="H746" s="12"/>
      <c r="I746" s="12" t="str">
        <f>IFERROR(__xludf.DUMMYFUNCTION("regexreplace(lower(C746), ""_"", """")"),"")</f>
        <v/>
      </c>
      <c r="J746" s="12" t="b">
        <f t="shared" si="51"/>
        <v>1</v>
      </c>
      <c r="K746" s="12" t="str">
        <f>IFERROR(__xludf.DUMMYFUNCTION("regexreplace(G746, ""_"", """")"),"")</f>
        <v/>
      </c>
      <c r="L746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N746" s="88"/>
      <c r="P746" s="88"/>
      <c r="Q746" s="88"/>
      <c r="R746" s="88"/>
      <c r="S746" s="88"/>
    </row>
    <row r="747">
      <c r="A747" s="246" t="s">
        <v>2576</v>
      </c>
      <c r="B747" s="246" t="s">
        <v>1040</v>
      </c>
      <c r="C747" s="247" t="s">
        <v>2662</v>
      </c>
      <c r="D747" s="247" t="s">
        <v>40</v>
      </c>
      <c r="E747" s="255" t="s">
        <v>1042</v>
      </c>
      <c r="F747" s="123">
        <f t="shared" si="1"/>
        <v>0</v>
      </c>
      <c r="G747" s="247" t="s">
        <v>7835</v>
      </c>
      <c r="H747" s="12" t="s">
        <v>2664</v>
      </c>
      <c r="I747" s="247" t="str">
        <f>IFERROR(__xludf.DUMMYFUNCTION("regexreplace(lower(C747), ""_"", """")"),"postheadsonogram")</f>
        <v>postheadsonogram</v>
      </c>
      <c r="J747" s="247" t="b">
        <f t="shared" si="51"/>
        <v>0</v>
      </c>
      <c r="K747" s="247" t="str">
        <f>IFERROR(__xludf.DUMMYFUNCTION("regexreplace(G747, ""_"", """")"),"posttreatheadsonogram")</f>
        <v>posttreatheadsonogram</v>
      </c>
      <c r="L74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""$1$2"")"),"post__head_sonogram")</f>
        <v>post__head_sonogram</v>
      </c>
      <c r="M747" s="257"/>
      <c r="N747" s="248" t="s">
        <v>7540</v>
      </c>
      <c r="O747" s="257"/>
      <c r="P747" s="255"/>
      <c r="Q747" s="255"/>
      <c r="R747" s="258"/>
      <c r="S747" s="258"/>
      <c r="T747" s="257"/>
      <c r="U747" s="257"/>
      <c r="V747" s="257"/>
      <c r="W747" s="257"/>
      <c r="X747" s="257"/>
      <c r="Y747" s="257"/>
      <c r="Z747" s="257"/>
    </row>
    <row r="748">
      <c r="A748" s="246"/>
      <c r="B748" s="246" t="s">
        <v>1040</v>
      </c>
      <c r="C748" s="247" t="s">
        <v>2665</v>
      </c>
      <c r="D748" s="247" t="s">
        <v>26</v>
      </c>
      <c r="E748" s="255" t="s">
        <v>1045</v>
      </c>
      <c r="F748" s="123">
        <f t="shared" si="1"/>
        <v>0</v>
      </c>
      <c r="G748" s="247" t="s">
        <v>7836</v>
      </c>
      <c r="H748" s="12"/>
      <c r="I748" s="247" t="str">
        <f>IFERROR(__xludf.DUMMYFUNCTION("regexreplace(lower(C748), ""_"", """")"),"postheadsonogramdate")</f>
        <v>postheadsonogramdate</v>
      </c>
      <c r="J748" s="247" t="b">
        <f t="shared" si="51"/>
        <v>0</v>
      </c>
      <c r="K748" s="247" t="str">
        <f>IFERROR(__xludf.DUMMYFUNCTION("regexreplace(G748, ""_"", """")"),"posttreatheadsonogramdate")</f>
        <v>posttreatheadsonogramdate</v>
      </c>
      <c r="L74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""$1$2"")"),"post__head_sonogram_date")</f>
        <v>post__head_sonogram_date</v>
      </c>
      <c r="M748" s="257"/>
      <c r="N748" s="248" t="s">
        <v>7542</v>
      </c>
      <c r="O748" s="257"/>
      <c r="P748" s="255"/>
      <c r="Q748" s="255"/>
      <c r="R748" s="258"/>
      <c r="S748" s="258"/>
      <c r="T748" s="257"/>
      <c r="U748" s="257"/>
      <c r="V748" s="257"/>
      <c r="W748" s="257"/>
      <c r="X748" s="257"/>
      <c r="Y748" s="257"/>
      <c r="Z748" s="257"/>
    </row>
    <row r="749">
      <c r="A749" s="246"/>
      <c r="B749" s="246" t="s">
        <v>1040</v>
      </c>
      <c r="C749" s="247" t="s">
        <v>2667</v>
      </c>
      <c r="D749" s="247" t="s">
        <v>145</v>
      </c>
      <c r="E749" s="255" t="s">
        <v>1048</v>
      </c>
      <c r="F749" s="123">
        <f t="shared" si="1"/>
        <v>0</v>
      </c>
      <c r="G749" s="247" t="s">
        <v>7837</v>
      </c>
      <c r="H749" s="12"/>
      <c r="I749" s="247" t="str">
        <f>IFERROR(__xludf.DUMMYFUNCTION("regexreplace(lower(C749), ""_"", """")"),"postheadsonogramtime")</f>
        <v>postheadsonogramtime</v>
      </c>
      <c r="J749" s="247" t="b">
        <f t="shared" si="51"/>
        <v>0</v>
      </c>
      <c r="K749" s="247" t="str">
        <f>IFERROR(__xludf.DUMMYFUNCTION("regexreplace(G749, ""_"", """")"),"posttreatheadsonogramtime")</f>
        <v>posttreatheadsonogramtime</v>
      </c>
      <c r="L74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""$1$2"")"),"post__head_sonogram_time")</f>
        <v>post__head_sonogram_time</v>
      </c>
      <c r="M749" s="257"/>
      <c r="N749" s="255"/>
      <c r="O749" s="257"/>
      <c r="P749" s="255"/>
      <c r="Q749" s="255"/>
      <c r="R749" s="258"/>
      <c r="S749" s="258"/>
      <c r="T749" s="257"/>
      <c r="U749" s="257"/>
      <c r="V749" s="257"/>
      <c r="W749" s="257"/>
      <c r="X749" s="257"/>
      <c r="Y749" s="257"/>
      <c r="Z749" s="257"/>
    </row>
    <row r="750">
      <c r="A750" s="246"/>
      <c r="B750" s="246" t="s">
        <v>1040</v>
      </c>
      <c r="C750" s="247" t="s">
        <v>2669</v>
      </c>
      <c r="D750" s="247" t="s">
        <v>1051</v>
      </c>
      <c r="E750" s="255" t="s">
        <v>1052</v>
      </c>
      <c r="F750" s="123">
        <f t="shared" si="1"/>
        <v>0</v>
      </c>
      <c r="G750" s="247" t="s">
        <v>7838</v>
      </c>
      <c r="H750" s="12"/>
      <c r="I750" s="247" t="str">
        <f>IFERROR(__xludf.DUMMYFUNCTION("regexreplace(lower(C750), ""_"", """")"),"postheadsonogramresult1")</f>
        <v>postheadsonogramresult1</v>
      </c>
      <c r="J750" s="247" t="b">
        <f t="shared" si="51"/>
        <v>0</v>
      </c>
      <c r="K750" s="247" t="str">
        <f>IFERROR(__xludf.DUMMYFUNCTION("regexreplace(G750, ""_"", """")"),"posttreatheadsonogramresulta")</f>
        <v>posttreatheadsonogramresulta</v>
      </c>
      <c r="L75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""$1$2"")"),"post__head_sonogram_result1")</f>
        <v>post__head_sonogram_result1</v>
      </c>
      <c r="M750" s="257"/>
      <c r="N750" s="255" t="s">
        <v>7545</v>
      </c>
      <c r="O750" s="257"/>
      <c r="P750" s="255"/>
      <c r="Q750" s="255"/>
      <c r="R750" s="258"/>
      <c r="S750" s="258"/>
      <c r="T750" s="257"/>
      <c r="U750" s="257"/>
      <c r="V750" s="257"/>
      <c r="W750" s="257"/>
      <c r="X750" s="257"/>
      <c r="Y750" s="257"/>
      <c r="Z750" s="257"/>
    </row>
    <row r="751">
      <c r="A751" s="246"/>
      <c r="B751" s="246" t="s">
        <v>1040</v>
      </c>
      <c r="C751" s="247" t="s">
        <v>2671</v>
      </c>
      <c r="D751" s="247" t="s">
        <v>1051</v>
      </c>
      <c r="E751" s="255" t="s">
        <v>1055</v>
      </c>
      <c r="F751" s="123">
        <f t="shared" si="1"/>
        <v>0</v>
      </c>
      <c r="G751" s="247" t="s">
        <v>7839</v>
      </c>
      <c r="H751" s="12"/>
      <c r="I751" s="247" t="str">
        <f>IFERROR(__xludf.DUMMYFUNCTION("regexreplace(lower(C751), ""_"", """")"),"postheadsonogramresult2")</f>
        <v>postheadsonogramresult2</v>
      </c>
      <c r="J751" s="247" t="b">
        <f t="shared" si="51"/>
        <v>0</v>
      </c>
      <c r="K751" s="247" t="str">
        <f>IFERROR(__xludf.DUMMYFUNCTION("regexreplace(G751, ""_"", """")"),"posttreatheadsonogramresultb")</f>
        <v>posttreatheadsonogramresultb</v>
      </c>
      <c r="L75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""$1$2"")"),"post__head_sonogram_result2")</f>
        <v>post__head_sonogram_result2</v>
      </c>
      <c r="M751" s="257"/>
      <c r="N751" s="255" t="s">
        <v>7545</v>
      </c>
      <c r="O751" s="257"/>
      <c r="P751" s="255"/>
      <c r="Q751" s="255"/>
      <c r="R751" s="258"/>
      <c r="S751" s="258"/>
      <c r="T751" s="257"/>
      <c r="U751" s="257"/>
      <c r="V751" s="257"/>
      <c r="W751" s="257"/>
      <c r="X751" s="257"/>
      <c r="Y751" s="257"/>
      <c r="Z751" s="257"/>
    </row>
    <row r="752">
      <c r="A752" s="246"/>
      <c r="B752" s="246" t="s">
        <v>1040</v>
      </c>
      <c r="C752" s="247" t="s">
        <v>2673</v>
      </c>
      <c r="D752" s="247" t="s">
        <v>1051</v>
      </c>
      <c r="E752" s="255" t="s">
        <v>1058</v>
      </c>
      <c r="F752" s="123">
        <f t="shared" si="1"/>
        <v>0</v>
      </c>
      <c r="G752" s="247" t="s">
        <v>7840</v>
      </c>
      <c r="H752" s="12"/>
      <c r="I752" s="247" t="str">
        <f>IFERROR(__xludf.DUMMYFUNCTION("regexreplace(lower(C752), ""_"", """")"),"postheadsonogramresult3")</f>
        <v>postheadsonogramresult3</v>
      </c>
      <c r="J752" s="247" t="b">
        <f t="shared" si="51"/>
        <v>0</v>
      </c>
      <c r="K752" s="247" t="str">
        <f>IFERROR(__xludf.DUMMYFUNCTION("regexreplace(G752, ""_"", """")"),"posttreatheadsonogramresultc")</f>
        <v>posttreatheadsonogramresultc</v>
      </c>
      <c r="L75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""$1$2"")"),"post__head_sonogram_result3")</f>
        <v>post__head_sonogram_result3</v>
      </c>
      <c r="M752" s="257"/>
      <c r="N752" s="255" t="s">
        <v>7545</v>
      </c>
      <c r="O752" s="257"/>
      <c r="P752" s="255"/>
      <c r="Q752" s="255"/>
      <c r="R752" s="258"/>
      <c r="S752" s="258"/>
      <c r="T752" s="257"/>
      <c r="U752" s="257"/>
      <c r="V752" s="257"/>
      <c r="W752" s="257"/>
      <c r="X752" s="257"/>
      <c r="Y752" s="257"/>
      <c r="Z752" s="257"/>
    </row>
    <row r="753">
      <c r="A753" s="246"/>
      <c r="B753" s="246" t="s">
        <v>1040</v>
      </c>
      <c r="C753" s="247" t="s">
        <v>2675</v>
      </c>
      <c r="D753" s="247" t="s">
        <v>1051</v>
      </c>
      <c r="E753" s="255" t="s">
        <v>1061</v>
      </c>
      <c r="F753" s="123">
        <f t="shared" si="1"/>
        <v>0</v>
      </c>
      <c r="G753" s="247" t="s">
        <v>7841</v>
      </c>
      <c r="H753" s="12"/>
      <c r="I753" s="247" t="str">
        <f>IFERROR(__xludf.DUMMYFUNCTION("regexreplace(lower(C753), ""_"", """")"),"postheadsonogramresult4")</f>
        <v>postheadsonogramresult4</v>
      </c>
      <c r="J753" s="247" t="b">
        <f t="shared" si="51"/>
        <v>0</v>
      </c>
      <c r="K753" s="247" t="str">
        <f>IFERROR(__xludf.DUMMYFUNCTION("regexreplace(G753, ""_"", """")"),"posttreatheadsonogramresultd")</f>
        <v>posttreatheadsonogramresultd</v>
      </c>
      <c r="L75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""$1$2"")"),"post__head_sonogram_result4")</f>
        <v>post__head_sonogram_result4</v>
      </c>
      <c r="M753" s="257"/>
      <c r="N753" s="255" t="s">
        <v>7545</v>
      </c>
      <c r="O753" s="257"/>
      <c r="P753" s="255"/>
      <c r="Q753" s="255"/>
      <c r="R753" s="258"/>
      <c r="S753" s="258"/>
      <c r="T753" s="257"/>
      <c r="U753" s="257"/>
      <c r="V753" s="257"/>
      <c r="W753" s="257"/>
      <c r="X753" s="257"/>
      <c r="Y753" s="257"/>
      <c r="Z753" s="257"/>
    </row>
    <row r="754">
      <c r="A754" s="246"/>
      <c r="B754" s="246" t="s">
        <v>1040</v>
      </c>
      <c r="C754" s="247" t="s">
        <v>2677</v>
      </c>
      <c r="D754" s="247" t="s">
        <v>1051</v>
      </c>
      <c r="E754" s="255" t="s">
        <v>1064</v>
      </c>
      <c r="F754" s="123">
        <f t="shared" si="1"/>
        <v>0</v>
      </c>
      <c r="G754" s="247" t="s">
        <v>7842</v>
      </c>
      <c r="H754" s="12"/>
      <c r="I754" s="247" t="str">
        <f>IFERROR(__xludf.DUMMYFUNCTION("regexreplace(lower(C754), ""_"", """")"),"postheadsonogramresult5")</f>
        <v>postheadsonogramresult5</v>
      </c>
      <c r="J754" s="247" t="b">
        <f t="shared" si="51"/>
        <v>0</v>
      </c>
      <c r="K754" s="247" t="str">
        <f>IFERROR(__xludf.DUMMYFUNCTION("regexreplace(G754, ""_"", """")"),"posttreatheadsonogramresulte")</f>
        <v>posttreatheadsonogramresulte</v>
      </c>
      <c r="L75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""$1$2"")"),"post__head_sonogram_result5")</f>
        <v>post__head_sonogram_result5</v>
      </c>
      <c r="M754" s="257"/>
      <c r="N754" s="255" t="s">
        <v>7545</v>
      </c>
      <c r="O754" s="257"/>
      <c r="P754" s="255"/>
      <c r="Q754" s="255"/>
      <c r="R754" s="258"/>
      <c r="S754" s="258"/>
      <c r="T754" s="257"/>
      <c r="U754" s="257"/>
      <c r="V754" s="257"/>
      <c r="W754" s="257"/>
      <c r="X754" s="257"/>
      <c r="Y754" s="257"/>
      <c r="Z754" s="257"/>
    </row>
    <row r="755">
      <c r="A755" s="246"/>
      <c r="B755" s="246" t="s">
        <v>1040</v>
      </c>
      <c r="C755" s="247" t="s">
        <v>2679</v>
      </c>
      <c r="D755" s="247" t="s">
        <v>1051</v>
      </c>
      <c r="E755" s="255" t="s">
        <v>1067</v>
      </c>
      <c r="F755" s="123">
        <f t="shared" si="1"/>
        <v>0</v>
      </c>
      <c r="G755" s="247" t="s">
        <v>7843</v>
      </c>
      <c r="H755" s="12"/>
      <c r="I755" s="247" t="str">
        <f>IFERROR(__xludf.DUMMYFUNCTION("regexreplace(lower(C755), ""_"", """")"),"postheadsonogramresult6")</f>
        <v>postheadsonogramresult6</v>
      </c>
      <c r="J755" s="247" t="b">
        <f t="shared" si="51"/>
        <v>0</v>
      </c>
      <c r="K755" s="247" t="str">
        <f>IFERROR(__xludf.DUMMYFUNCTION("regexreplace(G755, ""_"", """")"),"posttreatheadsonogramresultf")</f>
        <v>posttreatheadsonogramresultf</v>
      </c>
      <c r="L75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""$1$2"")"),"post__head_sonogram_result6")</f>
        <v>post__head_sonogram_result6</v>
      </c>
      <c r="M755" s="257"/>
      <c r="N755" s="255" t="s">
        <v>7545</v>
      </c>
      <c r="O755" s="257"/>
      <c r="P755" s="255"/>
      <c r="Q755" s="255"/>
      <c r="R755" s="258"/>
      <c r="S755" s="258"/>
      <c r="T755" s="257"/>
      <c r="U755" s="257"/>
      <c r="V755" s="257"/>
      <c r="W755" s="257"/>
      <c r="X755" s="257"/>
      <c r="Y755" s="257"/>
      <c r="Z755" s="257"/>
    </row>
    <row r="756">
      <c r="A756" s="246"/>
      <c r="B756" s="246" t="s">
        <v>1040</v>
      </c>
      <c r="C756" s="247" t="s">
        <v>2681</v>
      </c>
      <c r="D756" s="247" t="s">
        <v>1051</v>
      </c>
      <c r="E756" s="255" t="s">
        <v>1070</v>
      </c>
      <c r="F756" s="123">
        <f t="shared" si="1"/>
        <v>0</v>
      </c>
      <c r="G756" s="247" t="s">
        <v>7844</v>
      </c>
      <c r="H756" s="12"/>
      <c r="I756" s="247" t="str">
        <f>IFERROR(__xludf.DUMMYFUNCTION("regexreplace(lower(C756), ""_"", """")"),"postheadsonogramresult7")</f>
        <v>postheadsonogramresult7</v>
      </c>
      <c r="J756" s="247" t="b">
        <f t="shared" si="51"/>
        <v>0</v>
      </c>
      <c r="K756" s="247" t="str">
        <f>IFERROR(__xludf.DUMMYFUNCTION("regexreplace(G756, ""_"", """")"),"posttreatheadsonogramresultg")</f>
        <v>posttreatheadsonogramresultg</v>
      </c>
      <c r="L75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""$1$2"")"),"post__head_sonogram_result7")</f>
        <v>post__head_sonogram_result7</v>
      </c>
      <c r="M756" s="257"/>
      <c r="N756" s="255" t="s">
        <v>7545</v>
      </c>
      <c r="O756" s="257"/>
      <c r="P756" s="255"/>
      <c r="Q756" s="255"/>
      <c r="R756" s="258"/>
      <c r="S756" s="258"/>
      <c r="T756" s="257"/>
      <c r="U756" s="257"/>
      <c r="V756" s="257"/>
      <c r="W756" s="257"/>
      <c r="X756" s="257"/>
      <c r="Y756" s="257"/>
      <c r="Z756" s="257"/>
    </row>
    <row r="757">
      <c r="A757" s="246"/>
      <c r="B757" s="246" t="s">
        <v>1040</v>
      </c>
      <c r="C757" s="247" t="s">
        <v>2683</v>
      </c>
      <c r="D757" s="247" t="s">
        <v>1051</v>
      </c>
      <c r="E757" s="255" t="s">
        <v>1073</v>
      </c>
      <c r="F757" s="123">
        <f t="shared" si="1"/>
        <v>0</v>
      </c>
      <c r="G757" s="247" t="s">
        <v>7845</v>
      </c>
      <c r="H757" s="12"/>
      <c r="I757" s="247" t="str">
        <f>IFERROR(__xludf.DUMMYFUNCTION("regexreplace(lower(C757), ""_"", """")"),"postheadsonogramresult8")</f>
        <v>postheadsonogramresult8</v>
      </c>
      <c r="J757" s="247" t="b">
        <f t="shared" si="51"/>
        <v>0</v>
      </c>
      <c r="K757" s="247" t="str">
        <f>IFERROR(__xludf.DUMMYFUNCTION("regexreplace(G757, ""_"", """")"),"posttreatheadsonogramresulth")</f>
        <v>posttreatheadsonogramresulth</v>
      </c>
      <c r="L75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""$1$2"")"),"post__head_sonogram_result8")</f>
        <v>post__head_sonogram_result8</v>
      </c>
      <c r="M757" s="257"/>
      <c r="N757" s="255" t="s">
        <v>7545</v>
      </c>
      <c r="O757" s="257"/>
      <c r="P757" s="255"/>
      <c r="Q757" s="255"/>
      <c r="R757" s="258"/>
      <c r="S757" s="258"/>
      <c r="T757" s="257"/>
      <c r="U757" s="257"/>
      <c r="V757" s="257"/>
      <c r="W757" s="257"/>
      <c r="X757" s="257"/>
      <c r="Y757" s="257"/>
      <c r="Z757" s="257"/>
    </row>
    <row r="758">
      <c r="A758" s="246"/>
      <c r="B758" s="246" t="s">
        <v>1040</v>
      </c>
      <c r="C758" s="247" t="s">
        <v>2685</v>
      </c>
      <c r="D758" s="247" t="s">
        <v>16</v>
      </c>
      <c r="E758" s="255" t="s">
        <v>1076</v>
      </c>
      <c r="F758" s="123">
        <f t="shared" si="1"/>
        <v>0</v>
      </c>
      <c r="G758" s="247" t="s">
        <v>7846</v>
      </c>
      <c r="H758" s="12"/>
      <c r="I758" s="247" t="str">
        <f>IFERROR(__xludf.DUMMYFUNCTION("regexreplace(lower(C758), ""_"", """")"),"postheadsonogramresulttext")</f>
        <v>postheadsonogramresulttext</v>
      </c>
      <c r="J758" s="247" t="b">
        <f t="shared" si="51"/>
        <v>0</v>
      </c>
      <c r="K758" s="247" t="str">
        <f>IFERROR(__xludf.DUMMYFUNCTION("regexreplace(G758, ""_"", """")"),"posttreatheadsonogramresulttext")</f>
        <v>posttreatheadsonogramresulttext</v>
      </c>
      <c r="L75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""$1$2"")"),"post__head_sonogram_result_text")</f>
        <v>post__head_sonogram_result_text</v>
      </c>
      <c r="M758" s="257"/>
      <c r="N758" s="255"/>
      <c r="O758" s="257"/>
      <c r="P758" s="255"/>
      <c r="Q758" s="255"/>
      <c r="R758" s="258"/>
      <c r="S758" s="258"/>
      <c r="T758" s="257"/>
      <c r="U758" s="257"/>
      <c r="V758" s="257"/>
      <c r="W758" s="257"/>
      <c r="X758" s="257"/>
      <c r="Y758" s="257"/>
      <c r="Z758" s="257"/>
    </row>
    <row r="759">
      <c r="A759" s="246"/>
      <c r="B759" s="246" t="s">
        <v>1040</v>
      </c>
      <c r="C759" s="247" t="s">
        <v>2687</v>
      </c>
      <c r="D759" s="247" t="s">
        <v>40</v>
      </c>
      <c r="E759" s="255" t="s">
        <v>1079</v>
      </c>
      <c r="F759" s="123">
        <f t="shared" si="1"/>
        <v>0</v>
      </c>
      <c r="G759" s="247" t="s">
        <v>7847</v>
      </c>
      <c r="H759" s="12"/>
      <c r="I759" s="247" t="str">
        <f>IFERROR(__xludf.DUMMYFUNCTION("regexreplace(lower(C759), ""_"", """")"),"postheadct")</f>
        <v>postheadct</v>
      </c>
      <c r="J759" s="247" t="b">
        <f t="shared" si="51"/>
        <v>0</v>
      </c>
      <c r="K759" s="247" t="str">
        <f>IFERROR(__xludf.DUMMYFUNCTION("regexreplace(G759, ""_"", """")"),"posttreatheadct")</f>
        <v>posttreatheadct</v>
      </c>
      <c r="L75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""$1$2"")"),"post__head_ct")</f>
        <v>post__head_ct</v>
      </c>
      <c r="M759" s="257"/>
      <c r="N759" s="248" t="s">
        <v>7540</v>
      </c>
      <c r="O759" s="257"/>
      <c r="P759" s="255"/>
      <c r="Q759" s="255"/>
      <c r="R759" s="258"/>
      <c r="S759" s="258"/>
      <c r="T759" s="257"/>
      <c r="U759" s="257"/>
      <c r="V759" s="257"/>
      <c r="W759" s="257"/>
      <c r="X759" s="257"/>
      <c r="Y759" s="257"/>
      <c r="Z759" s="257"/>
    </row>
    <row r="760">
      <c r="A760" s="246"/>
      <c r="B760" s="246" t="s">
        <v>1040</v>
      </c>
      <c r="C760" s="247" t="s">
        <v>2689</v>
      </c>
      <c r="D760" s="247" t="s">
        <v>26</v>
      </c>
      <c r="E760" s="255" t="s">
        <v>1082</v>
      </c>
      <c r="F760" s="123">
        <f t="shared" si="1"/>
        <v>0</v>
      </c>
      <c r="G760" s="247" t="s">
        <v>7848</v>
      </c>
      <c r="H760" s="12"/>
      <c r="I760" s="247" t="str">
        <f>IFERROR(__xludf.DUMMYFUNCTION("regexreplace(lower(C760), ""_"", """")"),"postheadctdate")</f>
        <v>postheadctdate</v>
      </c>
      <c r="J760" s="247" t="b">
        <f t="shared" si="51"/>
        <v>0</v>
      </c>
      <c r="K760" s="247" t="str">
        <f>IFERROR(__xludf.DUMMYFUNCTION("regexreplace(G760, ""_"", """")"),"posttreatheadctdate")</f>
        <v>posttreatheadctdate</v>
      </c>
      <c r="L76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""$1$2"")"),"post__head_ct_date")</f>
        <v>post__head_ct_date</v>
      </c>
      <c r="M760" s="257"/>
      <c r="N760" s="248" t="s">
        <v>7542</v>
      </c>
      <c r="O760" s="257"/>
      <c r="P760" s="255"/>
      <c r="Q760" s="255"/>
      <c r="R760" s="258"/>
      <c r="S760" s="258"/>
      <c r="T760" s="257"/>
      <c r="U760" s="257"/>
      <c r="V760" s="257"/>
      <c r="W760" s="257"/>
      <c r="X760" s="257"/>
      <c r="Y760" s="257"/>
      <c r="Z760" s="257"/>
    </row>
    <row r="761">
      <c r="A761" s="246"/>
      <c r="B761" s="246" t="s">
        <v>1040</v>
      </c>
      <c r="C761" s="247" t="s">
        <v>2691</v>
      </c>
      <c r="D761" s="247" t="s">
        <v>145</v>
      </c>
      <c r="E761" s="255" t="s">
        <v>1085</v>
      </c>
      <c r="F761" s="123">
        <f t="shared" si="1"/>
        <v>0</v>
      </c>
      <c r="G761" s="247" t="s">
        <v>7849</v>
      </c>
      <c r="H761" s="12"/>
      <c r="I761" s="247" t="str">
        <f>IFERROR(__xludf.DUMMYFUNCTION("regexreplace(lower(C761), ""_"", """")"),"postheadcttime")</f>
        <v>postheadcttime</v>
      </c>
      <c r="J761" s="247" t="b">
        <f t="shared" si="51"/>
        <v>0</v>
      </c>
      <c r="K761" s="247" t="str">
        <f>IFERROR(__xludf.DUMMYFUNCTION("regexreplace(G761, ""_"", """")"),"posttreatheadcttime")</f>
        <v>posttreatheadcttime</v>
      </c>
      <c r="L76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""$1$2"")"),"post__head_ct_time")</f>
        <v>post__head_ct_time</v>
      </c>
      <c r="M761" s="257"/>
      <c r="N761" s="255"/>
      <c r="O761" s="257"/>
      <c r="P761" s="255"/>
      <c r="Q761" s="255"/>
      <c r="R761" s="258"/>
      <c r="S761" s="258"/>
      <c r="T761" s="257"/>
      <c r="U761" s="257"/>
      <c r="V761" s="257"/>
      <c r="W761" s="257"/>
      <c r="X761" s="257"/>
      <c r="Y761" s="257"/>
      <c r="Z761" s="257"/>
    </row>
    <row r="762">
      <c r="A762" s="246"/>
      <c r="B762" s="246" t="s">
        <v>1040</v>
      </c>
      <c r="C762" s="247" t="s">
        <v>2693</v>
      </c>
      <c r="D762" s="247" t="s">
        <v>1051</v>
      </c>
      <c r="E762" s="255" t="s">
        <v>1088</v>
      </c>
      <c r="F762" s="123">
        <f t="shared" si="1"/>
        <v>0</v>
      </c>
      <c r="G762" s="247" t="s">
        <v>7850</v>
      </c>
      <c r="H762" s="12"/>
      <c r="I762" s="247" t="str">
        <f>IFERROR(__xludf.DUMMYFUNCTION("regexreplace(lower(C762), ""_"", """")"),"postheadctresult1")</f>
        <v>postheadctresult1</v>
      </c>
      <c r="J762" s="247" t="b">
        <f t="shared" si="51"/>
        <v>0</v>
      </c>
      <c r="K762" s="247" t="str">
        <f>IFERROR(__xludf.DUMMYFUNCTION("regexreplace(G762, ""_"", """")"),"posttreatheadctresulta")</f>
        <v>posttreatheadctresulta</v>
      </c>
      <c r="L76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""$1$2"")"),"post__head_ct_result1")</f>
        <v>post__head_ct_result1</v>
      </c>
      <c r="M762" s="257"/>
      <c r="N762" s="255" t="s">
        <v>7545</v>
      </c>
      <c r="O762" s="257"/>
      <c r="P762" s="255"/>
      <c r="Q762" s="255"/>
      <c r="R762" s="258"/>
      <c r="S762" s="258"/>
      <c r="T762" s="257"/>
      <c r="U762" s="257"/>
      <c r="V762" s="257"/>
      <c r="W762" s="257"/>
      <c r="X762" s="257"/>
      <c r="Y762" s="257"/>
      <c r="Z762" s="257"/>
    </row>
    <row r="763">
      <c r="A763" s="246"/>
      <c r="B763" s="246" t="s">
        <v>1040</v>
      </c>
      <c r="C763" s="247" t="s">
        <v>2695</v>
      </c>
      <c r="D763" s="247" t="s">
        <v>1051</v>
      </c>
      <c r="E763" s="255" t="s">
        <v>1091</v>
      </c>
      <c r="F763" s="123">
        <f t="shared" si="1"/>
        <v>0</v>
      </c>
      <c r="G763" s="247" t="s">
        <v>7851</v>
      </c>
      <c r="H763" s="12"/>
      <c r="I763" s="247" t="str">
        <f>IFERROR(__xludf.DUMMYFUNCTION("regexreplace(lower(C763), ""_"", """")"),"postheadctresult2")</f>
        <v>postheadctresult2</v>
      </c>
      <c r="J763" s="247" t="b">
        <f t="shared" si="51"/>
        <v>0</v>
      </c>
      <c r="K763" s="247" t="str">
        <f>IFERROR(__xludf.DUMMYFUNCTION("regexreplace(G763, ""_"", """")"),"posttreatheadctresultb")</f>
        <v>posttreatheadctresultb</v>
      </c>
      <c r="L76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""$1$2"")"),"post__head_ct_result2")</f>
        <v>post__head_ct_result2</v>
      </c>
      <c r="M763" s="257"/>
      <c r="N763" s="255" t="s">
        <v>7545</v>
      </c>
      <c r="O763" s="257"/>
      <c r="P763" s="255"/>
      <c r="Q763" s="255"/>
      <c r="R763" s="258"/>
      <c r="S763" s="258"/>
      <c r="T763" s="257"/>
      <c r="U763" s="257"/>
      <c r="V763" s="257"/>
      <c r="W763" s="257"/>
      <c r="X763" s="257"/>
      <c r="Y763" s="257"/>
      <c r="Z763" s="257"/>
    </row>
    <row r="764">
      <c r="A764" s="246"/>
      <c r="B764" s="246" t="s">
        <v>1040</v>
      </c>
      <c r="C764" s="247" t="s">
        <v>2697</v>
      </c>
      <c r="D764" s="247" t="s">
        <v>1051</v>
      </c>
      <c r="E764" s="255" t="s">
        <v>1094</v>
      </c>
      <c r="F764" s="123">
        <f t="shared" si="1"/>
        <v>0</v>
      </c>
      <c r="G764" s="247" t="s">
        <v>7852</v>
      </c>
      <c r="H764" s="12"/>
      <c r="I764" s="247" t="str">
        <f>IFERROR(__xludf.DUMMYFUNCTION("regexreplace(lower(C764), ""_"", """")"),"postheadctresult3")</f>
        <v>postheadctresult3</v>
      </c>
      <c r="J764" s="247" t="b">
        <f t="shared" si="51"/>
        <v>0</v>
      </c>
      <c r="K764" s="247" t="str">
        <f>IFERROR(__xludf.DUMMYFUNCTION("regexreplace(G764, ""_"", """")"),"posttreatheadctresultc")</f>
        <v>posttreatheadctresultc</v>
      </c>
      <c r="L76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""$1$2"")"),"post__head_ct_result3")</f>
        <v>post__head_ct_result3</v>
      </c>
      <c r="M764" s="257"/>
      <c r="N764" s="255" t="s">
        <v>7545</v>
      </c>
      <c r="O764" s="257"/>
      <c r="P764" s="255"/>
      <c r="Q764" s="255"/>
      <c r="R764" s="258"/>
      <c r="S764" s="258"/>
      <c r="T764" s="257"/>
      <c r="U764" s="257"/>
      <c r="V764" s="257"/>
      <c r="W764" s="257"/>
      <c r="X764" s="257"/>
      <c r="Y764" s="257"/>
      <c r="Z764" s="257"/>
    </row>
    <row r="765">
      <c r="A765" s="246"/>
      <c r="B765" s="246" t="s">
        <v>1040</v>
      </c>
      <c r="C765" s="247" t="s">
        <v>2699</v>
      </c>
      <c r="D765" s="247" t="s">
        <v>1051</v>
      </c>
      <c r="E765" s="255" t="s">
        <v>1097</v>
      </c>
      <c r="F765" s="123">
        <f t="shared" si="1"/>
        <v>0</v>
      </c>
      <c r="G765" s="247" t="s">
        <v>7853</v>
      </c>
      <c r="H765" s="12"/>
      <c r="I765" s="247" t="str">
        <f>IFERROR(__xludf.DUMMYFUNCTION("regexreplace(lower(C765), ""_"", """")"),"postheadctresult4")</f>
        <v>postheadctresult4</v>
      </c>
      <c r="J765" s="247" t="b">
        <f t="shared" si="51"/>
        <v>0</v>
      </c>
      <c r="K765" s="247" t="str">
        <f>IFERROR(__xludf.DUMMYFUNCTION("regexreplace(G765, ""_"", """")"),"posttreatheadctresultd")</f>
        <v>posttreatheadctresultd</v>
      </c>
      <c r="L76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""$1$2"")"),"post__head_ct_result4")</f>
        <v>post__head_ct_result4</v>
      </c>
      <c r="M765" s="257"/>
      <c r="N765" s="255" t="s">
        <v>7545</v>
      </c>
      <c r="O765" s="257"/>
      <c r="P765" s="255"/>
      <c r="Q765" s="255"/>
      <c r="R765" s="258"/>
      <c r="S765" s="258"/>
      <c r="T765" s="257"/>
      <c r="U765" s="257"/>
      <c r="V765" s="257"/>
      <c r="W765" s="257"/>
      <c r="X765" s="257"/>
      <c r="Y765" s="257"/>
      <c r="Z765" s="257"/>
    </row>
    <row r="766">
      <c r="A766" s="246"/>
      <c r="B766" s="246" t="s">
        <v>1040</v>
      </c>
      <c r="C766" s="247" t="s">
        <v>2701</v>
      </c>
      <c r="D766" s="247" t="s">
        <v>1051</v>
      </c>
      <c r="E766" s="255" t="s">
        <v>1100</v>
      </c>
      <c r="F766" s="123">
        <f t="shared" si="1"/>
        <v>0</v>
      </c>
      <c r="G766" s="247" t="s">
        <v>7854</v>
      </c>
      <c r="H766" s="12"/>
      <c r="I766" s="247" t="str">
        <f>IFERROR(__xludf.DUMMYFUNCTION("regexreplace(lower(C766), ""_"", """")"),"postheadctresult5")</f>
        <v>postheadctresult5</v>
      </c>
      <c r="J766" s="247" t="b">
        <f t="shared" si="51"/>
        <v>0</v>
      </c>
      <c r="K766" s="247" t="str">
        <f>IFERROR(__xludf.DUMMYFUNCTION("regexreplace(G766, ""_"", """")"),"posttreatheadctresulte")</f>
        <v>posttreatheadctresulte</v>
      </c>
      <c r="L76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""$1$2"")"),"post__head_ct_result5")</f>
        <v>post__head_ct_result5</v>
      </c>
      <c r="M766" s="257"/>
      <c r="N766" s="255" t="s">
        <v>7545</v>
      </c>
      <c r="O766" s="257"/>
      <c r="P766" s="255"/>
      <c r="Q766" s="255"/>
      <c r="R766" s="258"/>
      <c r="S766" s="258"/>
      <c r="T766" s="257"/>
      <c r="U766" s="257"/>
      <c r="V766" s="257"/>
      <c r="W766" s="257"/>
      <c r="X766" s="257"/>
      <c r="Y766" s="257"/>
      <c r="Z766" s="257"/>
    </row>
    <row r="767">
      <c r="A767" s="246"/>
      <c r="B767" s="246" t="s">
        <v>1040</v>
      </c>
      <c r="C767" s="247" t="s">
        <v>2703</v>
      </c>
      <c r="D767" s="247" t="s">
        <v>1051</v>
      </c>
      <c r="E767" s="255" t="s">
        <v>1103</v>
      </c>
      <c r="F767" s="123">
        <f t="shared" si="1"/>
        <v>0</v>
      </c>
      <c r="G767" s="247" t="s">
        <v>7855</v>
      </c>
      <c r="H767" s="12"/>
      <c r="I767" s="247" t="str">
        <f>IFERROR(__xludf.DUMMYFUNCTION("regexreplace(lower(C767), ""_"", """")"),"postheadctresult6")</f>
        <v>postheadctresult6</v>
      </c>
      <c r="J767" s="247" t="b">
        <f t="shared" si="51"/>
        <v>0</v>
      </c>
      <c r="K767" s="247" t="str">
        <f>IFERROR(__xludf.DUMMYFUNCTION("regexreplace(G767, ""_"", """")"),"posttreatheadctresultf")</f>
        <v>posttreatheadctresultf</v>
      </c>
      <c r="L76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""$1$2"")"),"post__head_ct_result6")</f>
        <v>post__head_ct_result6</v>
      </c>
      <c r="M767" s="257"/>
      <c r="N767" s="255" t="s">
        <v>7545</v>
      </c>
      <c r="O767" s="257"/>
      <c r="P767" s="255"/>
      <c r="Q767" s="255"/>
      <c r="R767" s="258"/>
      <c r="S767" s="258"/>
      <c r="T767" s="257"/>
      <c r="U767" s="257"/>
      <c r="V767" s="257"/>
      <c r="W767" s="257"/>
      <c r="X767" s="257"/>
      <c r="Y767" s="257"/>
      <c r="Z767" s="257"/>
    </row>
    <row r="768">
      <c r="A768" s="246"/>
      <c r="B768" s="246" t="s">
        <v>1040</v>
      </c>
      <c r="C768" s="247" t="s">
        <v>2705</v>
      </c>
      <c r="D768" s="247" t="s">
        <v>1051</v>
      </c>
      <c r="E768" s="255" t="s">
        <v>1106</v>
      </c>
      <c r="F768" s="123">
        <f t="shared" si="1"/>
        <v>0</v>
      </c>
      <c r="G768" s="247" t="s">
        <v>7856</v>
      </c>
      <c r="H768" s="12"/>
      <c r="I768" s="247" t="str">
        <f>IFERROR(__xludf.DUMMYFUNCTION("regexreplace(lower(C768), ""_"", """")"),"postheadctresult7")</f>
        <v>postheadctresult7</v>
      </c>
      <c r="J768" s="247" t="b">
        <f t="shared" si="51"/>
        <v>0</v>
      </c>
      <c r="K768" s="247" t="str">
        <f>IFERROR(__xludf.DUMMYFUNCTION("regexreplace(G768, ""_"", """")"),"posttreatheadctresultg")</f>
        <v>posttreatheadctresultg</v>
      </c>
      <c r="L76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""$1$2"")"),"post__head_ct_result7")</f>
        <v>post__head_ct_result7</v>
      </c>
      <c r="M768" s="257"/>
      <c r="N768" s="255" t="s">
        <v>7545</v>
      </c>
      <c r="O768" s="257"/>
      <c r="P768" s="255"/>
      <c r="Q768" s="255"/>
      <c r="R768" s="258"/>
      <c r="S768" s="258"/>
      <c r="T768" s="257"/>
      <c r="U768" s="257"/>
      <c r="V768" s="257"/>
      <c r="W768" s="257"/>
      <c r="X768" s="257"/>
      <c r="Y768" s="257"/>
      <c r="Z768" s="257"/>
    </row>
    <row r="769">
      <c r="A769" s="246"/>
      <c r="B769" s="246" t="s">
        <v>1040</v>
      </c>
      <c r="C769" s="247" t="s">
        <v>2707</v>
      </c>
      <c r="D769" s="247" t="s">
        <v>1051</v>
      </c>
      <c r="E769" s="255" t="s">
        <v>1109</v>
      </c>
      <c r="F769" s="123">
        <f t="shared" si="1"/>
        <v>0</v>
      </c>
      <c r="G769" s="247" t="s">
        <v>7857</v>
      </c>
      <c r="H769" s="12"/>
      <c r="I769" s="247" t="str">
        <f>IFERROR(__xludf.DUMMYFUNCTION("regexreplace(lower(C769), ""_"", """")"),"postheadctresult8")</f>
        <v>postheadctresult8</v>
      </c>
      <c r="J769" s="247" t="b">
        <f t="shared" si="51"/>
        <v>0</v>
      </c>
      <c r="K769" s="247" t="str">
        <f>IFERROR(__xludf.DUMMYFUNCTION("regexreplace(G769, ""_"", """")"),"posttreatheadctresulth")</f>
        <v>posttreatheadctresulth</v>
      </c>
      <c r="L76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""$1$2"")"),"post__head_ct_result8")</f>
        <v>post__head_ct_result8</v>
      </c>
      <c r="M769" s="257"/>
      <c r="N769" s="255" t="s">
        <v>7545</v>
      </c>
      <c r="O769" s="257"/>
      <c r="P769" s="255"/>
      <c r="Q769" s="255"/>
      <c r="R769" s="258"/>
      <c r="S769" s="258"/>
      <c r="T769" s="257"/>
      <c r="U769" s="257"/>
      <c r="V769" s="257"/>
      <c r="W769" s="257"/>
      <c r="X769" s="257"/>
      <c r="Y769" s="257"/>
      <c r="Z769" s="257"/>
    </row>
    <row r="770">
      <c r="A770" s="246"/>
      <c r="B770" s="246" t="s">
        <v>1040</v>
      </c>
      <c r="C770" s="247" t="s">
        <v>2709</v>
      </c>
      <c r="D770" s="247" t="s">
        <v>16</v>
      </c>
      <c r="E770" s="255" t="s">
        <v>1112</v>
      </c>
      <c r="F770" s="123">
        <f t="shared" si="1"/>
        <v>0</v>
      </c>
      <c r="G770" s="247" t="s">
        <v>7858</v>
      </c>
      <c r="H770" s="12"/>
      <c r="I770" s="247" t="str">
        <f>IFERROR(__xludf.DUMMYFUNCTION("regexreplace(lower(C770), ""_"", """")"),"postheadctresulttext")</f>
        <v>postheadctresulttext</v>
      </c>
      <c r="J770" s="247" t="b">
        <f t="shared" si="51"/>
        <v>0</v>
      </c>
      <c r="K770" s="247" t="str">
        <f>IFERROR(__xludf.DUMMYFUNCTION("regexreplace(G770, ""_"", """")"),"posttreatheadctresulttext")</f>
        <v>posttreatheadctresulttext</v>
      </c>
      <c r="L77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""$1$2"")"),"post__head_ct_result_text")</f>
        <v>post__head_ct_result_text</v>
      </c>
      <c r="M770" s="257"/>
      <c r="N770" s="255"/>
      <c r="O770" s="257"/>
      <c r="P770" s="255"/>
      <c r="Q770" s="255"/>
      <c r="R770" s="258"/>
      <c r="S770" s="258"/>
      <c r="T770" s="257"/>
      <c r="U770" s="257"/>
      <c r="V770" s="257"/>
      <c r="W770" s="257"/>
      <c r="X770" s="257"/>
      <c r="Y770" s="257"/>
      <c r="Z770" s="257"/>
    </row>
    <row r="771">
      <c r="A771" s="246"/>
      <c r="B771" s="246" t="s">
        <v>1040</v>
      </c>
      <c r="C771" s="247" t="s">
        <v>2711</v>
      </c>
      <c r="D771" s="247" t="s">
        <v>40</v>
      </c>
      <c r="E771" s="255" t="s">
        <v>1115</v>
      </c>
      <c r="F771" s="123">
        <f t="shared" si="1"/>
        <v>0</v>
      </c>
      <c r="G771" s="247" t="s">
        <v>7859</v>
      </c>
      <c r="H771" s="12"/>
      <c r="I771" s="247" t="str">
        <f>IFERROR(__xludf.DUMMYFUNCTION("regexreplace(lower(C771), ""_"", """")"),"postbrainmri")</f>
        <v>postbrainmri</v>
      </c>
      <c r="J771" s="247" t="b">
        <f t="shared" si="51"/>
        <v>0</v>
      </c>
      <c r="K771" s="247" t="str">
        <f>IFERROR(__xludf.DUMMYFUNCTION("regexreplace(G771, ""_"", """")"),"posttreatbrainmri")</f>
        <v>posttreatbrainmri</v>
      </c>
      <c r="L77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""$1$2"")"),"post__brain_mri")</f>
        <v>post__brain_mri</v>
      </c>
      <c r="M771" s="257"/>
      <c r="N771" s="248" t="s">
        <v>7540</v>
      </c>
      <c r="O771" s="257"/>
      <c r="P771" s="255"/>
      <c r="Q771" s="255"/>
      <c r="R771" s="258"/>
      <c r="S771" s="258"/>
      <c r="T771" s="257"/>
      <c r="U771" s="257"/>
      <c r="V771" s="257"/>
      <c r="W771" s="257"/>
      <c r="X771" s="257"/>
      <c r="Y771" s="257"/>
      <c r="Z771" s="257"/>
    </row>
    <row r="772">
      <c r="A772" s="246"/>
      <c r="B772" s="246" t="s">
        <v>1040</v>
      </c>
      <c r="C772" s="247" t="s">
        <v>2713</v>
      </c>
      <c r="D772" s="247" t="s">
        <v>26</v>
      </c>
      <c r="E772" s="255" t="s">
        <v>1118</v>
      </c>
      <c r="F772" s="123">
        <f t="shared" si="1"/>
        <v>0</v>
      </c>
      <c r="G772" s="247" t="s">
        <v>7860</v>
      </c>
      <c r="H772" s="12"/>
      <c r="I772" s="247" t="str">
        <f>IFERROR(__xludf.DUMMYFUNCTION("regexreplace(lower(C772), ""_"", """")"),"postbrainmridate")</f>
        <v>postbrainmridate</v>
      </c>
      <c r="J772" s="247" t="b">
        <f t="shared" si="51"/>
        <v>0</v>
      </c>
      <c r="K772" s="247" t="str">
        <f>IFERROR(__xludf.DUMMYFUNCTION("regexreplace(G772, ""_"", """")"),"posttreatbrainmridate")</f>
        <v>posttreatbrainmridate</v>
      </c>
      <c r="L77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""$1$2"")"),"post__brain_mri_date")</f>
        <v>post__brain_mri_date</v>
      </c>
      <c r="M772" s="257"/>
      <c r="N772" s="248" t="s">
        <v>7542</v>
      </c>
      <c r="O772" s="257"/>
      <c r="P772" s="255"/>
      <c r="Q772" s="255"/>
      <c r="R772" s="258"/>
      <c r="S772" s="258"/>
      <c r="T772" s="257"/>
      <c r="U772" s="257"/>
      <c r="V772" s="257"/>
      <c r="W772" s="257"/>
      <c r="X772" s="257"/>
      <c r="Y772" s="257"/>
      <c r="Z772" s="257"/>
    </row>
    <row r="773">
      <c r="A773" s="246"/>
      <c r="B773" s="246" t="s">
        <v>1040</v>
      </c>
      <c r="C773" s="247" t="s">
        <v>2715</v>
      </c>
      <c r="D773" s="247" t="s">
        <v>145</v>
      </c>
      <c r="E773" s="255" t="s">
        <v>1121</v>
      </c>
      <c r="F773" s="123">
        <f t="shared" si="1"/>
        <v>0</v>
      </c>
      <c r="G773" s="247" t="s">
        <v>7861</v>
      </c>
      <c r="H773" s="12"/>
      <c r="I773" s="247" t="str">
        <f>IFERROR(__xludf.DUMMYFUNCTION("regexreplace(lower(C773), ""_"", """")"),"postbrainmritime")</f>
        <v>postbrainmritime</v>
      </c>
      <c r="J773" s="247" t="b">
        <f t="shared" si="51"/>
        <v>0</v>
      </c>
      <c r="K773" s="247" t="str">
        <f>IFERROR(__xludf.DUMMYFUNCTION("regexreplace(G773, ""_"", """")"),"posttreatbrainmritime")</f>
        <v>posttreatbrainmritime</v>
      </c>
      <c r="L773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""$1$2"")"),"post__brain_mri_time")</f>
        <v>post__brain_mri_time</v>
      </c>
      <c r="M773" s="257"/>
      <c r="N773" s="255"/>
      <c r="O773" s="257"/>
      <c r="P773" s="255"/>
      <c r="Q773" s="255"/>
      <c r="R773" s="258"/>
      <c r="S773" s="258"/>
      <c r="T773" s="257"/>
      <c r="U773" s="257"/>
      <c r="V773" s="257"/>
      <c r="W773" s="257"/>
      <c r="X773" s="257"/>
      <c r="Y773" s="257"/>
      <c r="Z773" s="257"/>
    </row>
    <row r="774">
      <c r="A774" s="246"/>
      <c r="B774" s="246" t="s">
        <v>1040</v>
      </c>
      <c r="C774" s="247" t="s">
        <v>2717</v>
      </c>
      <c r="D774" s="247" t="s">
        <v>1051</v>
      </c>
      <c r="E774" s="255" t="s">
        <v>1124</v>
      </c>
      <c r="F774" s="123">
        <f t="shared" si="1"/>
        <v>0</v>
      </c>
      <c r="G774" s="247" t="s">
        <v>7862</v>
      </c>
      <c r="H774" s="12"/>
      <c r="I774" s="247" t="str">
        <f>IFERROR(__xludf.DUMMYFUNCTION("regexreplace(lower(C774), ""_"", """")"),"postbrainmriresult1")</f>
        <v>postbrainmriresult1</v>
      </c>
      <c r="J774" s="247" t="b">
        <f t="shared" si="51"/>
        <v>0</v>
      </c>
      <c r="K774" s="247" t="str">
        <f>IFERROR(__xludf.DUMMYFUNCTION("regexreplace(G774, ""_"", """")"),"posttreatbrainmriresulta")</f>
        <v>posttreatbrainmriresulta</v>
      </c>
      <c r="L774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""$1$2"")"),"post__brain_mri_result1")</f>
        <v>post__brain_mri_result1</v>
      </c>
      <c r="M774" s="257"/>
      <c r="N774" s="255" t="s">
        <v>7545</v>
      </c>
      <c r="O774" s="257"/>
      <c r="P774" s="255"/>
      <c r="Q774" s="255"/>
      <c r="R774" s="258"/>
      <c r="S774" s="258"/>
      <c r="T774" s="257"/>
      <c r="U774" s="257"/>
      <c r="V774" s="257"/>
      <c r="W774" s="257"/>
      <c r="X774" s="257"/>
      <c r="Y774" s="257"/>
      <c r="Z774" s="257"/>
    </row>
    <row r="775">
      <c r="A775" s="246"/>
      <c r="B775" s="246" t="s">
        <v>1040</v>
      </c>
      <c r="C775" s="247" t="s">
        <v>2719</v>
      </c>
      <c r="D775" s="247" t="s">
        <v>1051</v>
      </c>
      <c r="E775" s="255" t="s">
        <v>1127</v>
      </c>
      <c r="F775" s="123">
        <f t="shared" si="1"/>
        <v>0</v>
      </c>
      <c r="G775" s="247" t="s">
        <v>7863</v>
      </c>
      <c r="H775" s="12"/>
      <c r="I775" s="247" t="str">
        <f>IFERROR(__xludf.DUMMYFUNCTION("regexreplace(lower(C775), ""_"", """")"),"postbrainmriresult2")</f>
        <v>postbrainmriresult2</v>
      </c>
      <c r="J775" s="247" t="b">
        <f t="shared" si="51"/>
        <v>0</v>
      </c>
      <c r="K775" s="247" t="str">
        <f>IFERROR(__xludf.DUMMYFUNCTION("regexreplace(G775, ""_"", """")"),"posttreatbrainmriresultb")</f>
        <v>posttreatbrainmriresultb</v>
      </c>
      <c r="L775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""$1$2"")"),"post__brain_mri_result2")</f>
        <v>post__brain_mri_result2</v>
      </c>
      <c r="M775" s="257"/>
      <c r="N775" s="255" t="s">
        <v>7545</v>
      </c>
      <c r="O775" s="257"/>
      <c r="P775" s="255"/>
      <c r="Q775" s="255"/>
      <c r="R775" s="258"/>
      <c r="S775" s="258"/>
      <c r="T775" s="257"/>
      <c r="U775" s="257"/>
      <c r="V775" s="257"/>
      <c r="W775" s="257"/>
      <c r="X775" s="257"/>
      <c r="Y775" s="257"/>
      <c r="Z775" s="257"/>
    </row>
    <row r="776">
      <c r="A776" s="246"/>
      <c r="B776" s="246" t="s">
        <v>1040</v>
      </c>
      <c r="C776" s="247" t="s">
        <v>2721</v>
      </c>
      <c r="D776" s="247" t="s">
        <v>1051</v>
      </c>
      <c r="E776" s="255" t="s">
        <v>1130</v>
      </c>
      <c r="F776" s="123">
        <f t="shared" si="1"/>
        <v>0</v>
      </c>
      <c r="G776" s="247" t="s">
        <v>7864</v>
      </c>
      <c r="H776" s="12"/>
      <c r="I776" s="247" t="str">
        <f>IFERROR(__xludf.DUMMYFUNCTION("regexreplace(lower(C776), ""_"", """")"),"postbrainmriresult3")</f>
        <v>postbrainmriresult3</v>
      </c>
      <c r="J776" s="247" t="b">
        <f t="shared" si="51"/>
        <v>0</v>
      </c>
      <c r="K776" s="247" t="str">
        <f>IFERROR(__xludf.DUMMYFUNCTION("regexreplace(G776, ""_"", """")"),"posttreatbrainmriresultc")</f>
        <v>posttreatbrainmriresultc</v>
      </c>
      <c r="L776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""$1$2"")"),"post__brain_mri_result3")</f>
        <v>post__brain_mri_result3</v>
      </c>
      <c r="M776" s="257"/>
      <c r="N776" s="255" t="s">
        <v>7545</v>
      </c>
      <c r="O776" s="257"/>
      <c r="P776" s="255"/>
      <c r="Q776" s="255"/>
      <c r="R776" s="258"/>
      <c r="S776" s="258"/>
      <c r="T776" s="257"/>
      <c r="U776" s="257"/>
      <c r="V776" s="257"/>
      <c r="W776" s="257"/>
      <c r="X776" s="257"/>
      <c r="Y776" s="257"/>
      <c r="Z776" s="257"/>
    </row>
    <row r="777">
      <c r="A777" s="246"/>
      <c r="B777" s="246" t="s">
        <v>1040</v>
      </c>
      <c r="C777" s="247" t="s">
        <v>2723</v>
      </c>
      <c r="D777" s="247" t="s">
        <v>1051</v>
      </c>
      <c r="E777" s="255" t="s">
        <v>1133</v>
      </c>
      <c r="F777" s="123">
        <f t="shared" si="1"/>
        <v>0</v>
      </c>
      <c r="G777" s="247" t="s">
        <v>7865</v>
      </c>
      <c r="H777" s="12"/>
      <c r="I777" s="247" t="str">
        <f>IFERROR(__xludf.DUMMYFUNCTION("regexreplace(lower(C777), ""_"", """")"),"postbrainmriresult4")</f>
        <v>postbrainmriresult4</v>
      </c>
      <c r="J777" s="247" t="b">
        <f t="shared" si="51"/>
        <v>0</v>
      </c>
      <c r="K777" s="247" t="str">
        <f>IFERROR(__xludf.DUMMYFUNCTION("regexreplace(G777, ""_"", """")"),"posttreatbrainmriresultd")</f>
        <v>posttreatbrainmriresultd</v>
      </c>
      <c r="L777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""$1$2"")"),"post__brain_mri_result4")</f>
        <v>post__brain_mri_result4</v>
      </c>
      <c r="M777" s="257"/>
      <c r="N777" s="255" t="s">
        <v>7545</v>
      </c>
      <c r="O777" s="257"/>
      <c r="P777" s="255"/>
      <c r="Q777" s="255"/>
      <c r="R777" s="258"/>
      <c r="S777" s="258"/>
      <c r="T777" s="257"/>
      <c r="U777" s="257"/>
      <c r="V777" s="257"/>
      <c r="W777" s="257"/>
      <c r="X777" s="257"/>
      <c r="Y777" s="257"/>
      <c r="Z777" s="257"/>
    </row>
    <row r="778">
      <c r="A778" s="246"/>
      <c r="B778" s="246" t="s">
        <v>1040</v>
      </c>
      <c r="C778" s="247" t="s">
        <v>2725</v>
      </c>
      <c r="D778" s="247" t="s">
        <v>1051</v>
      </c>
      <c r="E778" s="255" t="s">
        <v>1136</v>
      </c>
      <c r="F778" s="123">
        <f t="shared" si="1"/>
        <v>0</v>
      </c>
      <c r="G778" s="247" t="s">
        <v>7866</v>
      </c>
      <c r="H778" s="12"/>
      <c r="I778" s="247" t="str">
        <f>IFERROR(__xludf.DUMMYFUNCTION("regexreplace(lower(C778), ""_"", """")"),"postbrainmriresult5")</f>
        <v>postbrainmriresult5</v>
      </c>
      <c r="J778" s="247" t="b">
        <f t="shared" si="51"/>
        <v>0</v>
      </c>
      <c r="K778" s="247" t="str">
        <f>IFERROR(__xludf.DUMMYFUNCTION("regexreplace(G778, ""_"", """")"),"posttreatbrainmriresulte")</f>
        <v>posttreatbrainmriresulte</v>
      </c>
      <c r="L778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""$1$2"")"),"post__brain_mri_result5")</f>
        <v>post__brain_mri_result5</v>
      </c>
      <c r="M778" s="257"/>
      <c r="N778" s="255" t="s">
        <v>7545</v>
      </c>
      <c r="O778" s="257"/>
      <c r="P778" s="255"/>
      <c r="Q778" s="255"/>
      <c r="R778" s="258"/>
      <c r="S778" s="258"/>
      <c r="T778" s="257"/>
      <c r="U778" s="257"/>
      <c r="V778" s="257"/>
      <c r="W778" s="257"/>
      <c r="X778" s="257"/>
      <c r="Y778" s="257"/>
      <c r="Z778" s="257"/>
    </row>
    <row r="779">
      <c r="A779" s="246"/>
      <c r="B779" s="246" t="s">
        <v>1040</v>
      </c>
      <c r="C779" s="247" t="s">
        <v>2727</v>
      </c>
      <c r="D779" s="247" t="s">
        <v>1051</v>
      </c>
      <c r="E779" s="255" t="s">
        <v>1139</v>
      </c>
      <c r="F779" s="123">
        <f t="shared" si="1"/>
        <v>0</v>
      </c>
      <c r="G779" s="247" t="s">
        <v>7867</v>
      </c>
      <c r="H779" s="12"/>
      <c r="I779" s="247" t="str">
        <f>IFERROR(__xludf.DUMMYFUNCTION("regexreplace(lower(C779), ""_"", """")"),"postbrainmriresult6")</f>
        <v>postbrainmriresult6</v>
      </c>
      <c r="J779" s="247" t="b">
        <f t="shared" si="51"/>
        <v>0</v>
      </c>
      <c r="K779" s="247" t="str">
        <f>IFERROR(__xludf.DUMMYFUNCTION("regexreplace(G779, ""_"", """")"),"posttreatbrainmriresultf")</f>
        <v>posttreatbrainmriresultf</v>
      </c>
      <c r="L779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""$1$2"")"),"post__brain_mri_result6")</f>
        <v>post__brain_mri_result6</v>
      </c>
      <c r="M779" s="257"/>
      <c r="N779" s="255" t="s">
        <v>7545</v>
      </c>
      <c r="O779" s="257"/>
      <c r="P779" s="255"/>
      <c r="Q779" s="255"/>
      <c r="R779" s="258"/>
      <c r="S779" s="258"/>
      <c r="T779" s="257"/>
      <c r="U779" s="257"/>
      <c r="V779" s="257"/>
      <c r="W779" s="257"/>
      <c r="X779" s="257"/>
      <c r="Y779" s="257"/>
      <c r="Z779" s="257"/>
    </row>
    <row r="780">
      <c r="A780" s="246"/>
      <c r="B780" s="246" t="s">
        <v>1040</v>
      </c>
      <c r="C780" s="247" t="s">
        <v>2729</v>
      </c>
      <c r="D780" s="247" t="s">
        <v>1051</v>
      </c>
      <c r="E780" s="255" t="s">
        <v>1142</v>
      </c>
      <c r="F780" s="123">
        <f t="shared" si="1"/>
        <v>0</v>
      </c>
      <c r="G780" s="247" t="s">
        <v>7868</v>
      </c>
      <c r="H780" s="12"/>
      <c r="I780" s="247" t="str">
        <f>IFERROR(__xludf.DUMMYFUNCTION("regexreplace(lower(C780), ""_"", """")"),"postbrainmriresult7")</f>
        <v>postbrainmriresult7</v>
      </c>
      <c r="J780" s="247" t="b">
        <f t="shared" si="51"/>
        <v>0</v>
      </c>
      <c r="K780" s="247" t="str">
        <f>IFERROR(__xludf.DUMMYFUNCTION("regexreplace(G780, ""_"", """")"),"posttreatbrainmriresultg")</f>
        <v>posttreatbrainmriresultg</v>
      </c>
      <c r="L780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""$1$2"")"),"post__brain_mri_result7")</f>
        <v>post__brain_mri_result7</v>
      </c>
      <c r="M780" s="257"/>
      <c r="N780" s="255" t="s">
        <v>7545</v>
      </c>
      <c r="O780" s="257"/>
      <c r="P780" s="255"/>
      <c r="Q780" s="255"/>
      <c r="R780" s="258"/>
      <c r="S780" s="258"/>
      <c r="T780" s="257"/>
      <c r="U780" s="257"/>
      <c r="V780" s="257"/>
      <c r="W780" s="257"/>
      <c r="X780" s="257"/>
      <c r="Y780" s="257"/>
      <c r="Z780" s="257"/>
    </row>
    <row r="781">
      <c r="A781" s="246"/>
      <c r="B781" s="246" t="s">
        <v>1040</v>
      </c>
      <c r="C781" s="247" t="s">
        <v>2731</v>
      </c>
      <c r="D781" s="247" t="s">
        <v>1051</v>
      </c>
      <c r="E781" s="255" t="s">
        <v>1145</v>
      </c>
      <c r="F781" s="123">
        <f t="shared" si="1"/>
        <v>0</v>
      </c>
      <c r="G781" s="247" t="s">
        <v>7869</v>
      </c>
      <c r="H781" s="12"/>
      <c r="I781" s="247" t="str">
        <f>IFERROR(__xludf.DUMMYFUNCTION("regexreplace(lower(C781), ""_"", """")"),"postbrainmriresult8")</f>
        <v>postbrainmriresult8</v>
      </c>
      <c r="J781" s="247" t="b">
        <f t="shared" si="51"/>
        <v>0</v>
      </c>
      <c r="K781" s="247" t="str">
        <f>IFERROR(__xludf.DUMMYFUNCTION("regexreplace(G781, ""_"", """")"),"posttreatbrainmriresulth")</f>
        <v>posttreatbrainmriresulth</v>
      </c>
      <c r="L781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""$1$2"")"),"post__brain_mri_result8")</f>
        <v>post__brain_mri_result8</v>
      </c>
      <c r="M781" s="257"/>
      <c r="N781" s="255" t="s">
        <v>7545</v>
      </c>
      <c r="O781" s="257"/>
      <c r="P781" s="255"/>
      <c r="Q781" s="255"/>
      <c r="R781" s="258"/>
      <c r="S781" s="258"/>
      <c r="T781" s="257"/>
      <c r="U781" s="257"/>
      <c r="V781" s="257"/>
      <c r="W781" s="257"/>
      <c r="X781" s="257"/>
      <c r="Y781" s="257"/>
      <c r="Z781" s="257"/>
    </row>
    <row r="782">
      <c r="A782" s="246"/>
      <c r="B782" s="246" t="s">
        <v>1040</v>
      </c>
      <c r="C782" s="247" t="s">
        <v>2733</v>
      </c>
      <c r="D782" s="247" t="s">
        <v>16</v>
      </c>
      <c r="E782" s="255" t="s">
        <v>1148</v>
      </c>
      <c r="F782" s="123">
        <f t="shared" si="1"/>
        <v>0</v>
      </c>
      <c r="G782" s="247" t="s">
        <v>7870</v>
      </c>
      <c r="H782" s="12"/>
      <c r="I782" s="247" t="str">
        <f>IFERROR(__xludf.DUMMYFUNCTION("regexreplace(lower(C782), ""_"", """")"),"postbrainmriresulttext")</f>
        <v>postbrainmriresulttext</v>
      </c>
      <c r="J782" s="247" t="b">
        <f t="shared" si="51"/>
        <v>0</v>
      </c>
      <c r="K782" s="247" t="str">
        <f>IFERROR(__xludf.DUMMYFUNCTION("regexreplace(G782, ""_"", """")"),"posttreatbrainmriresulttext")</f>
        <v>posttreatbrainmriresulttext</v>
      </c>
      <c r="L782" s="247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""$1$2"")"),"post__brain_mri_result_text")</f>
        <v>post__brain_mri_result_text</v>
      </c>
      <c r="M782" s="257"/>
      <c r="N782" s="255"/>
      <c r="O782" s="257"/>
      <c r="P782" s="255"/>
      <c r="Q782" s="255"/>
      <c r="R782" s="258"/>
      <c r="S782" s="258"/>
      <c r="T782" s="257"/>
      <c r="U782" s="257"/>
      <c r="V782" s="257"/>
      <c r="W782" s="257"/>
      <c r="X782" s="257"/>
      <c r="Y782" s="257"/>
      <c r="Z782" s="257"/>
    </row>
    <row r="783">
      <c r="A783" s="33"/>
      <c r="B783" s="33"/>
      <c r="C783" s="12"/>
      <c r="D783" s="12"/>
      <c r="E783" s="15"/>
      <c r="F783" s="123">
        <f t="shared" si="1"/>
        <v>0</v>
      </c>
      <c r="G783" s="12"/>
      <c r="H783" s="12"/>
      <c r="I783" s="12"/>
      <c r="J783" s="12"/>
      <c r="K783" s="12"/>
      <c r="L783" s="12"/>
      <c r="N783" s="15"/>
      <c r="P783" s="15"/>
      <c r="Q783" s="15"/>
      <c r="R783" s="88"/>
      <c r="S783" s="88"/>
    </row>
    <row r="784">
      <c r="A784" s="246" t="s">
        <v>2576</v>
      </c>
      <c r="B784" s="189" t="s">
        <v>1150</v>
      </c>
      <c r="C784" s="196" t="s">
        <v>2735</v>
      </c>
      <c r="D784" s="196" t="s">
        <v>16</v>
      </c>
      <c r="E784" s="330" t="s">
        <v>2736</v>
      </c>
      <c r="F784" s="123">
        <f t="shared" si="1"/>
        <v>1</v>
      </c>
      <c r="G784" s="121"/>
      <c r="H784" s="39"/>
      <c r="I784" s="192" t="str">
        <f>IFERROR(__xludf.DUMMYFUNCTION("regexreplace(lower(C784), ""_"", """")"),"postneuroexamsectionid")</f>
        <v>postneuroexamsectionid</v>
      </c>
      <c r="J784" s="192" t="b">
        <f t="shared" ref="J784:J805" si="52">exact(I784, K784)</f>
        <v>0</v>
      </c>
      <c r="K784" s="192" t="str">
        <f>IFERROR(__xludf.DUMMYFUNCTION("regexreplace(G784, ""_"", """")"),"")</f>
        <v/>
      </c>
      <c r="L7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""$1$2"")"),"post__neuro_exam_section_id")</f>
        <v>post__neuro_exam_section_id</v>
      </c>
      <c r="M784" s="193"/>
      <c r="N784" s="199"/>
      <c r="O784" s="193"/>
      <c r="P784" s="199"/>
      <c r="Q784" s="151" t="s">
        <v>2738</v>
      </c>
      <c r="R784" s="207"/>
      <c r="S784" s="207"/>
      <c r="T784" s="193"/>
      <c r="U784" s="193"/>
      <c r="V784" s="193"/>
      <c r="W784" s="193"/>
      <c r="X784" s="193"/>
      <c r="Y784" s="193"/>
      <c r="Z784" s="193"/>
    </row>
    <row r="785">
      <c r="A785" s="329"/>
      <c r="B785" s="189" t="s">
        <v>1150</v>
      </c>
      <c r="C785" s="154" t="s">
        <v>2739</v>
      </c>
      <c r="D785" s="154" t="s">
        <v>40</v>
      </c>
      <c r="E785" s="151" t="s">
        <v>2740</v>
      </c>
      <c r="F785" s="123">
        <f t="shared" si="1"/>
        <v>1</v>
      </c>
      <c r="G785" s="121" t="s">
        <v>7871</v>
      </c>
      <c r="H785" s="12"/>
      <c r="I785" s="192" t="str">
        <f>IFERROR(__xludf.DUMMYFUNCTION("regexreplace(lower(C785), ""_"", """")"),"postneuroexam")</f>
        <v>postneuroexam</v>
      </c>
      <c r="J785" s="192" t="b">
        <f t="shared" si="52"/>
        <v>0</v>
      </c>
      <c r="K785" s="192" t="str">
        <f>IFERROR(__xludf.DUMMYFUNCTION("regexreplace(G785, ""_"", """")"),"posttreatneuroexam")</f>
        <v>posttreatneuroexam</v>
      </c>
      <c r="L7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""$1$2"")"),"post__neuro_exam")</f>
        <v>post__neuro_exam</v>
      </c>
      <c r="M785" s="193"/>
      <c r="N785" s="199"/>
      <c r="O785" s="193"/>
      <c r="P785" s="199"/>
      <c r="Q785" s="151" t="s">
        <v>2742</v>
      </c>
      <c r="R785" s="207"/>
      <c r="S785" s="207"/>
      <c r="T785" s="193"/>
      <c r="U785" s="193"/>
      <c r="V785" s="193"/>
      <c r="W785" s="193"/>
      <c r="X785" s="193"/>
      <c r="Y785" s="193"/>
      <c r="Z785" s="193"/>
    </row>
    <row r="786">
      <c r="A786" s="329"/>
      <c r="B786" s="189" t="s">
        <v>1150</v>
      </c>
      <c r="C786" s="196" t="s">
        <v>2743</v>
      </c>
      <c r="D786" s="196" t="s">
        <v>26</v>
      </c>
      <c r="E786" s="198" t="s">
        <v>2744</v>
      </c>
      <c r="F786" s="123">
        <f t="shared" si="1"/>
        <v>3</v>
      </c>
      <c r="G786" s="121" t="s">
        <v>7872</v>
      </c>
      <c r="H786" s="39"/>
      <c r="I786" s="192" t="str">
        <f>IFERROR(__xludf.DUMMYFUNCTION("regexreplace(lower(C786), ""_"", """")"),"postneuroexamdate")</f>
        <v>postneuroexamdate</v>
      </c>
      <c r="J786" s="192" t="b">
        <f t="shared" si="52"/>
        <v>0</v>
      </c>
      <c r="K786" s="192" t="str">
        <f>IFERROR(__xludf.DUMMYFUNCTION("regexreplace(G786, ""_"", """")"),"posttreatneuroexamdate")</f>
        <v>posttreatneuroexamdate</v>
      </c>
      <c r="L7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""$1$2"")"),"post__neuro_exam_date")</f>
        <v>post__neuro_exam_date</v>
      </c>
      <c r="M786" s="193"/>
      <c r="N786" s="331" t="s">
        <v>7873</v>
      </c>
      <c r="O786" s="61" t="s">
        <v>7874</v>
      </c>
      <c r="P786" s="202" t="s">
        <v>2746</v>
      </c>
      <c r="Q786" s="151" t="s">
        <v>2747</v>
      </c>
      <c r="R786" s="207"/>
      <c r="S786" s="207"/>
      <c r="T786" s="193"/>
      <c r="U786" s="193"/>
      <c r="V786" s="193"/>
      <c r="W786" s="193"/>
      <c r="X786" s="193"/>
      <c r="Y786" s="193"/>
      <c r="Z786" s="193"/>
    </row>
    <row r="787">
      <c r="A787" s="329"/>
      <c r="B787" s="189" t="s">
        <v>1150</v>
      </c>
      <c r="C787" s="196" t="s">
        <v>2748</v>
      </c>
      <c r="D787" s="196" t="s">
        <v>145</v>
      </c>
      <c r="E787" s="198" t="s">
        <v>2749</v>
      </c>
      <c r="F787" s="123">
        <f t="shared" si="1"/>
        <v>2</v>
      </c>
      <c r="G787" s="121" t="s">
        <v>7875</v>
      </c>
      <c r="H787" s="39"/>
      <c r="I787" s="192" t="str">
        <f>IFERROR(__xludf.DUMMYFUNCTION("regexreplace(lower(C787), ""_"", """")"),"postneuroexamtime")</f>
        <v>postneuroexamtime</v>
      </c>
      <c r="J787" s="192" t="b">
        <f t="shared" si="52"/>
        <v>0</v>
      </c>
      <c r="K787" s="192" t="str">
        <f>IFERROR(__xludf.DUMMYFUNCTION("regexreplace(G787, ""_"", """")"),"posttreatneuroexamtime")</f>
        <v>posttreatneuroexamtime</v>
      </c>
      <c r="L7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""$1$2"")"),"post__neuro_exam_time")</f>
        <v>post__neuro_exam_time</v>
      </c>
      <c r="M787" s="193"/>
      <c r="N787" s="202"/>
      <c r="O787" s="193"/>
      <c r="P787" s="202" t="s">
        <v>2751</v>
      </c>
      <c r="Q787" s="151" t="s">
        <v>2752</v>
      </c>
      <c r="R787" s="207"/>
      <c r="S787" s="207"/>
      <c r="T787" s="193"/>
      <c r="U787" s="193"/>
      <c r="V787" s="193"/>
      <c r="W787" s="193"/>
      <c r="X787" s="193"/>
      <c r="Y787" s="193"/>
      <c r="Z787" s="193"/>
    </row>
    <row r="788">
      <c r="A788" s="329"/>
      <c r="B788" s="189" t="s">
        <v>1150</v>
      </c>
      <c r="C788" s="154" t="s">
        <v>2753</v>
      </c>
      <c r="D788" s="154" t="s">
        <v>1168</v>
      </c>
      <c r="E788" s="151" t="s">
        <v>2754</v>
      </c>
      <c r="F788" s="123">
        <f t="shared" si="1"/>
        <v>3</v>
      </c>
      <c r="G788" s="121" t="s">
        <v>7876</v>
      </c>
      <c r="H788" s="12"/>
      <c r="I788" s="192" t="str">
        <f>IFERROR(__xludf.DUMMYFUNCTION("regexreplace(lower(C788), ""_"", """")"),"postneuroexamlevelconsciousness")</f>
        <v>postneuroexamlevelconsciousness</v>
      </c>
      <c r="J788" s="192" t="b">
        <f t="shared" si="52"/>
        <v>0</v>
      </c>
      <c r="K788" s="192" t="str">
        <f>IFERROR(__xludf.DUMMYFUNCTION("regexreplace(G788, ""_"", """")"),"posttreatneuroexamlevelconsciousness")</f>
        <v>posttreatneuroexamlevelconsciousness</v>
      </c>
      <c r="L7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""$1$2"")"),"post__neuro_exam_level_consciousness")</f>
        <v>post__neuro_exam_level_consciousness</v>
      </c>
      <c r="M788" s="193"/>
      <c r="N788" s="331" t="s">
        <v>7582</v>
      </c>
      <c r="O788" s="61" t="s">
        <v>7877</v>
      </c>
      <c r="P788" s="202" t="s">
        <v>2756</v>
      </c>
      <c r="Q788" s="151" t="s">
        <v>2757</v>
      </c>
      <c r="R788" s="207"/>
      <c r="S788" s="207"/>
      <c r="T788" s="193"/>
      <c r="U788" s="193"/>
      <c r="V788" s="193"/>
      <c r="W788" s="193"/>
      <c r="X788" s="193"/>
      <c r="Y788" s="193"/>
      <c r="Z788" s="193"/>
    </row>
    <row r="789">
      <c r="A789" s="329"/>
      <c r="B789" s="189" t="s">
        <v>1150</v>
      </c>
      <c r="C789" s="154" t="s">
        <v>2758</v>
      </c>
      <c r="D789" s="154" t="s">
        <v>1174</v>
      </c>
      <c r="E789" s="151" t="s">
        <v>2759</v>
      </c>
      <c r="F789" s="123">
        <f t="shared" si="1"/>
        <v>3</v>
      </c>
      <c r="G789" s="121" t="s">
        <v>7878</v>
      </c>
      <c r="H789" s="12"/>
      <c r="I789" s="192" t="str">
        <f>IFERROR(__xludf.DUMMYFUNCTION("regexreplace(lower(C789), ""_"", """")"),"postneuroexamspontaneousactivity")</f>
        <v>postneuroexamspontaneousactivity</v>
      </c>
      <c r="J789" s="192" t="b">
        <f t="shared" si="52"/>
        <v>0</v>
      </c>
      <c r="K789" s="192" t="str">
        <f>IFERROR(__xludf.DUMMYFUNCTION("regexreplace(G789, ""_"", """")"),"posttreatneuroexamspontaneousactivity")</f>
        <v>posttreatneuroexamspontaneousactivity</v>
      </c>
      <c r="L7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""$1$2"")"),"post__neuro_exam_spontaneous_activity")</f>
        <v>post__neuro_exam_spontaneous_activity</v>
      </c>
      <c r="M789" s="193"/>
      <c r="N789" s="202"/>
      <c r="O789" s="61" t="s">
        <v>7879</v>
      </c>
      <c r="P789" s="202" t="s">
        <v>2761</v>
      </c>
      <c r="Q789" s="151" t="s">
        <v>2762</v>
      </c>
      <c r="R789" s="207"/>
      <c r="S789" s="207"/>
      <c r="T789" s="193"/>
      <c r="U789" s="193"/>
      <c r="V789" s="193"/>
      <c r="W789" s="193"/>
      <c r="X789" s="193"/>
      <c r="Y789" s="193"/>
      <c r="Z789" s="193"/>
    </row>
    <row r="790">
      <c r="A790" s="329"/>
      <c r="B790" s="189" t="s">
        <v>1150</v>
      </c>
      <c r="C790" s="154" t="s">
        <v>2763</v>
      </c>
      <c r="D790" s="154" t="s">
        <v>1180</v>
      </c>
      <c r="E790" s="151" t="s">
        <v>2764</v>
      </c>
      <c r="F790" s="123">
        <f t="shared" si="1"/>
        <v>3</v>
      </c>
      <c r="G790" s="121" t="s">
        <v>7880</v>
      </c>
      <c r="H790" s="12"/>
      <c r="I790" s="192" t="str">
        <f>IFERROR(__xludf.DUMMYFUNCTION("regexreplace(lower(C790), ""_"", """")"),"postneuroexamposture")</f>
        <v>postneuroexamposture</v>
      </c>
      <c r="J790" s="192" t="b">
        <f t="shared" si="52"/>
        <v>0</v>
      </c>
      <c r="K790" s="192" t="str">
        <f>IFERROR(__xludf.DUMMYFUNCTION("regexreplace(G790, ""_"", """")"),"posttreatneuroexamposture")</f>
        <v>posttreatneuroexamposture</v>
      </c>
      <c r="L7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""$1$2"")"),"post__neuro_exam_posture")</f>
        <v>post__neuro_exam_posture</v>
      </c>
      <c r="M790" s="193"/>
      <c r="N790" s="202"/>
      <c r="O790" s="61" t="s">
        <v>7881</v>
      </c>
      <c r="P790" s="202" t="s">
        <v>2766</v>
      </c>
      <c r="Q790" s="151" t="s">
        <v>2767</v>
      </c>
      <c r="R790" s="207"/>
      <c r="S790" s="207"/>
      <c r="T790" s="193"/>
      <c r="U790" s="193"/>
      <c r="V790" s="193"/>
      <c r="W790" s="193"/>
      <c r="X790" s="193"/>
      <c r="Y790" s="193"/>
      <c r="Z790" s="193"/>
    </row>
    <row r="791">
      <c r="A791" s="329"/>
      <c r="B791" s="189" t="s">
        <v>1150</v>
      </c>
      <c r="C791" s="196" t="s">
        <v>2768</v>
      </c>
      <c r="D791" s="196" t="s">
        <v>1186</v>
      </c>
      <c r="E791" s="198" t="s">
        <v>2769</v>
      </c>
      <c r="F791" s="123">
        <f t="shared" si="1"/>
        <v>3</v>
      </c>
      <c r="G791" s="121" t="s">
        <v>7882</v>
      </c>
      <c r="H791" s="39"/>
      <c r="I791" s="192" t="str">
        <f>IFERROR(__xludf.DUMMYFUNCTION("regexreplace(lower(C791), ""_"", """")"),"postneuroexamtone")</f>
        <v>postneuroexamtone</v>
      </c>
      <c r="J791" s="192" t="b">
        <f t="shared" si="52"/>
        <v>0</v>
      </c>
      <c r="K791" s="192" t="str">
        <f>IFERROR(__xludf.DUMMYFUNCTION("regexreplace(G791, ""_"", """")"),"posttreatneuroexamdecreasedtone")</f>
        <v>posttreatneuroexamdecreasedtone</v>
      </c>
      <c r="L7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""$1$2"")"),"post__neuro_exam_tone")</f>
        <v>post__neuro_exam_tone</v>
      </c>
      <c r="M791" s="193"/>
      <c r="N791" s="202"/>
      <c r="O791" s="61" t="s">
        <v>7883</v>
      </c>
      <c r="P791" s="202" t="s">
        <v>2771</v>
      </c>
      <c r="Q791" s="151" t="s">
        <v>2772</v>
      </c>
      <c r="R791" s="207"/>
      <c r="S791" s="207"/>
      <c r="T791" s="193"/>
      <c r="U791" s="193"/>
      <c r="V791" s="193"/>
      <c r="W791" s="193"/>
      <c r="X791" s="193"/>
      <c r="Y791" s="193"/>
      <c r="Z791" s="193"/>
    </row>
    <row r="792">
      <c r="A792" s="329"/>
      <c r="B792" s="189" t="s">
        <v>1150</v>
      </c>
      <c r="C792" s="154" t="s">
        <v>2773</v>
      </c>
      <c r="D792" s="154" t="s">
        <v>1192</v>
      </c>
      <c r="E792" s="151" t="s">
        <v>2774</v>
      </c>
      <c r="F792" s="123">
        <f t="shared" si="1"/>
        <v>3</v>
      </c>
      <c r="G792" s="121" t="s">
        <v>7884</v>
      </c>
      <c r="H792" s="12"/>
      <c r="I792" s="192" t="str">
        <f>IFERROR(__xludf.DUMMYFUNCTION("regexreplace(lower(C792), ""_"", """")"),"postneuroexamsuck")</f>
        <v>postneuroexamsuck</v>
      </c>
      <c r="J792" s="192" t="b">
        <f t="shared" si="52"/>
        <v>0</v>
      </c>
      <c r="K792" s="192" t="str">
        <f>IFERROR(__xludf.DUMMYFUNCTION("regexreplace(G792, ""_"", """")"),"posttreatneuroexamsuck")</f>
        <v>posttreatneuroexamsuck</v>
      </c>
      <c r="L7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""$1$2"")"),"post__neuro_exam_suck")</f>
        <v>post__neuro_exam_suck</v>
      </c>
      <c r="M792" s="193"/>
      <c r="N792" s="202"/>
      <c r="O792" s="61" t="s">
        <v>7885</v>
      </c>
      <c r="P792" s="202" t="s">
        <v>2776</v>
      </c>
      <c r="Q792" s="151" t="s">
        <v>2777</v>
      </c>
      <c r="R792" s="207"/>
      <c r="S792" s="207"/>
      <c r="T792" s="193"/>
      <c r="U792" s="193"/>
      <c r="V792" s="193"/>
      <c r="W792" s="193"/>
      <c r="X792" s="193"/>
      <c r="Y792" s="193"/>
      <c r="Z792" s="193"/>
    </row>
    <row r="793">
      <c r="A793" s="329"/>
      <c r="B793" s="189" t="s">
        <v>1150</v>
      </c>
      <c r="C793" s="154" t="s">
        <v>2778</v>
      </c>
      <c r="D793" s="154" t="s">
        <v>1198</v>
      </c>
      <c r="E793" s="151" t="s">
        <v>2779</v>
      </c>
      <c r="F793" s="123">
        <f t="shared" si="1"/>
        <v>3</v>
      </c>
      <c r="G793" s="121" t="s">
        <v>7886</v>
      </c>
      <c r="H793" s="12"/>
      <c r="I793" s="192" t="str">
        <f>IFERROR(__xludf.DUMMYFUNCTION("regexreplace(lower(C793), ""_"", """")"),"postneuroexammoro")</f>
        <v>postneuroexammoro</v>
      </c>
      <c r="J793" s="192" t="b">
        <f t="shared" si="52"/>
        <v>0</v>
      </c>
      <c r="K793" s="192" t="str">
        <f>IFERROR(__xludf.DUMMYFUNCTION("regexreplace(G793, ""_"", """")"),"posttreatneuroexammoro")</f>
        <v>posttreatneuroexammoro</v>
      </c>
      <c r="L7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""$1$2"")"),"post__neuro_exam_moro")</f>
        <v>post__neuro_exam_moro</v>
      </c>
      <c r="M793" s="193"/>
      <c r="N793" s="202"/>
      <c r="O793" s="61" t="s">
        <v>7887</v>
      </c>
      <c r="P793" s="202" t="s">
        <v>2781</v>
      </c>
      <c r="Q793" s="151" t="s">
        <v>2782</v>
      </c>
      <c r="R793" s="207"/>
      <c r="S793" s="207"/>
      <c r="T793" s="193"/>
      <c r="U793" s="193"/>
      <c r="V793" s="193"/>
      <c r="W793" s="193"/>
      <c r="X793" s="193"/>
      <c r="Y793" s="193"/>
      <c r="Z793" s="193"/>
    </row>
    <row r="794">
      <c r="A794" s="329"/>
      <c r="B794" s="189" t="s">
        <v>1150</v>
      </c>
      <c r="C794" s="154" t="s">
        <v>2783</v>
      </c>
      <c r="D794" s="154" t="s">
        <v>1204</v>
      </c>
      <c r="E794" s="151" t="s">
        <v>2784</v>
      </c>
      <c r="F794" s="123">
        <f t="shared" si="1"/>
        <v>3</v>
      </c>
      <c r="G794" s="121" t="s">
        <v>7888</v>
      </c>
      <c r="H794" s="12"/>
      <c r="I794" s="192" t="str">
        <f>IFERROR(__xludf.DUMMYFUNCTION("regexreplace(lower(C794), ""_"", """")"),"postneuroexampupils")</f>
        <v>postneuroexampupils</v>
      </c>
      <c r="J794" s="192" t="b">
        <f t="shared" si="52"/>
        <v>0</v>
      </c>
      <c r="K794" s="192" t="str">
        <f>IFERROR(__xludf.DUMMYFUNCTION("regexreplace(G794, ""_"", """")"),"posttreatneuroexampupils")</f>
        <v>posttreatneuroexampupils</v>
      </c>
      <c r="L7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""$1$2"")"),"post__neuro_exam_pupils")</f>
        <v>post__neuro_exam_pupils</v>
      </c>
      <c r="M794" s="193"/>
      <c r="N794" s="202"/>
      <c r="O794" s="61" t="s">
        <v>7889</v>
      </c>
      <c r="P794" s="202" t="s">
        <v>2786</v>
      </c>
      <c r="Q794" s="151" t="s">
        <v>2787</v>
      </c>
      <c r="R794" s="207"/>
      <c r="S794" s="207"/>
      <c r="T794" s="193"/>
      <c r="U794" s="193"/>
      <c r="V794" s="193"/>
      <c r="W794" s="193"/>
      <c r="X794" s="193"/>
      <c r="Y794" s="193"/>
      <c r="Z794" s="193"/>
    </row>
    <row r="795">
      <c r="A795" s="329"/>
      <c r="B795" s="189" t="s">
        <v>1150</v>
      </c>
      <c r="C795" s="154" t="s">
        <v>2788</v>
      </c>
      <c r="D795" s="154" t="s">
        <v>1210</v>
      </c>
      <c r="E795" s="151" t="s">
        <v>2789</v>
      </c>
      <c r="F795" s="123">
        <f t="shared" si="1"/>
        <v>2</v>
      </c>
      <c r="G795" s="121" t="s">
        <v>7890</v>
      </c>
      <c r="H795" s="12"/>
      <c r="I795" s="192" t="str">
        <f>IFERROR(__xludf.DUMMYFUNCTION("regexreplace(lower(C795), ""_"", """")"),"postneuroexamheartrate")</f>
        <v>postneuroexamheartrate</v>
      </c>
      <c r="J795" s="192" t="b">
        <f t="shared" si="52"/>
        <v>0</v>
      </c>
      <c r="K795" s="192" t="str">
        <f>IFERROR(__xludf.DUMMYFUNCTION("regexreplace(G795, ""_"", """")"),"posttreatneuroexamheartrate")</f>
        <v>posttreatneuroexamheartrate</v>
      </c>
      <c r="L7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""$1$2"")"),"post__neuro_exam_heart_rate")</f>
        <v>post__neuro_exam_heart_rate</v>
      </c>
      <c r="M795" s="193"/>
      <c r="N795" s="202"/>
      <c r="O795" s="193"/>
      <c r="P795" s="202" t="s">
        <v>2791</v>
      </c>
      <c r="Q795" s="151" t="s">
        <v>2792</v>
      </c>
      <c r="R795" s="207"/>
      <c r="S795" s="207"/>
      <c r="T795" s="193"/>
      <c r="U795" s="193"/>
      <c r="V795" s="193"/>
      <c r="W795" s="193"/>
      <c r="X795" s="193"/>
      <c r="Y795" s="193"/>
      <c r="Z795" s="193"/>
    </row>
    <row r="796">
      <c r="A796" s="329"/>
      <c r="B796" s="189" t="s">
        <v>1150</v>
      </c>
      <c r="C796" s="196" t="s">
        <v>2793</v>
      </c>
      <c r="D796" s="196" t="s">
        <v>1216</v>
      </c>
      <c r="E796" s="198" t="s">
        <v>2794</v>
      </c>
      <c r="F796" s="123">
        <f t="shared" si="1"/>
        <v>3</v>
      </c>
      <c r="G796" s="121" t="s">
        <v>7891</v>
      </c>
      <c r="H796" s="39"/>
      <c r="I796" s="192" t="str">
        <f>IFERROR(__xludf.DUMMYFUNCTION("regexreplace(lower(C796), ""_"", """")"),"postneuroexamrespiration")</f>
        <v>postneuroexamrespiration</v>
      </c>
      <c r="J796" s="192" t="b">
        <f t="shared" si="52"/>
        <v>0</v>
      </c>
      <c r="K796" s="192" t="str">
        <f>IFERROR(__xludf.DUMMYFUNCTION("regexreplace(G796, ""_"", """")"),"posttreatneuroexamrespiration")</f>
        <v>posttreatneuroexamrespiration</v>
      </c>
      <c r="L7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""$1$2"")"),"post__neuro_exam_respiration")</f>
        <v>post__neuro_exam_respiration</v>
      </c>
      <c r="M796" s="193"/>
      <c r="N796" s="202"/>
      <c r="O796" s="61" t="s">
        <v>7892</v>
      </c>
      <c r="P796" s="202" t="s">
        <v>2796</v>
      </c>
      <c r="Q796" s="151" t="s">
        <v>2797</v>
      </c>
      <c r="R796" s="207"/>
      <c r="S796" s="207"/>
      <c r="T796" s="193"/>
      <c r="U796" s="193"/>
      <c r="V796" s="193"/>
      <c r="W796" s="193"/>
      <c r="X796" s="193"/>
      <c r="Y796" s="193"/>
      <c r="Z796" s="193"/>
    </row>
    <row r="797">
      <c r="A797" s="329"/>
      <c r="B797" s="189" t="s">
        <v>1150</v>
      </c>
      <c r="C797" s="154" t="s">
        <v>2798</v>
      </c>
      <c r="D797" s="154" t="s">
        <v>40</v>
      </c>
      <c r="E797" s="151" t="s">
        <v>2799</v>
      </c>
      <c r="F797" s="123">
        <f t="shared" si="1"/>
        <v>2</v>
      </c>
      <c r="G797" s="121" t="s">
        <v>7893</v>
      </c>
      <c r="H797" s="12"/>
      <c r="I797" s="192" t="str">
        <f>IFERROR(__xludf.DUMMYFUNCTION("regexreplace(lower(C797), ""_"", """")"),"postneuroexamseizure")</f>
        <v>postneuroexamseizure</v>
      </c>
      <c r="J797" s="192" t="b">
        <f t="shared" si="52"/>
        <v>0</v>
      </c>
      <c r="K797" s="192" t="str">
        <f>IFERROR(__xludf.DUMMYFUNCTION("regexreplace(G797, ""_"", """")"),"posttreatneuroexamseizure")</f>
        <v>posttreatneuroexamseizure</v>
      </c>
      <c r="L7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""$1$2"")"),"post__neuro_exam_seizure")</f>
        <v>post__neuro_exam_seizure</v>
      </c>
      <c r="M797" s="193"/>
      <c r="N797" s="202"/>
      <c r="O797" s="193"/>
      <c r="P797" s="293" t="s">
        <v>2801</v>
      </c>
      <c r="Q797" s="151" t="s">
        <v>2802</v>
      </c>
      <c r="R797" s="207"/>
      <c r="S797" s="207"/>
      <c r="T797" s="193"/>
      <c r="U797" s="193"/>
      <c r="V797" s="193"/>
      <c r="W797" s="193"/>
      <c r="X797" s="193"/>
      <c r="Y797" s="193"/>
      <c r="Z797" s="193"/>
    </row>
    <row r="798">
      <c r="A798" s="329"/>
      <c r="B798" s="189" t="s">
        <v>1150</v>
      </c>
      <c r="C798" s="154" t="s">
        <v>2803</v>
      </c>
      <c r="D798" s="154" t="s">
        <v>40</v>
      </c>
      <c r="E798" s="151" t="s">
        <v>2804</v>
      </c>
      <c r="F798" s="123">
        <f t="shared" si="1"/>
        <v>2</v>
      </c>
      <c r="G798" s="121" t="s">
        <v>7894</v>
      </c>
      <c r="H798" s="12"/>
      <c r="I798" s="192" t="str">
        <f>IFERROR(__xludf.DUMMYFUNCTION("regexreplace(lower(C798), ""_"", """")"),"postneuroexamsedate")</f>
        <v>postneuroexamsedate</v>
      </c>
      <c r="J798" s="192" t="b">
        <f t="shared" si="52"/>
        <v>0</v>
      </c>
      <c r="K798" s="192" t="str">
        <f>IFERROR(__xludf.DUMMYFUNCTION("regexreplace(G798, ""_"", """")"),"posttreatneuroexamsedate")</f>
        <v>posttreatneuroexamsedate</v>
      </c>
      <c r="L7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""$1$2"")"),"post__neuro_exam_sedate")</f>
        <v>post__neuro_exam_sedate</v>
      </c>
      <c r="M798" s="193"/>
      <c r="N798" s="202"/>
      <c r="O798" s="193"/>
      <c r="P798" s="202" t="s">
        <v>2806</v>
      </c>
      <c r="Q798" s="151" t="s">
        <v>2807</v>
      </c>
      <c r="R798" s="207"/>
      <c r="S798" s="207"/>
      <c r="T798" s="193"/>
      <c r="U798" s="193"/>
      <c r="V798" s="193"/>
      <c r="W798" s="193"/>
      <c r="X798" s="193"/>
      <c r="Y798" s="193"/>
      <c r="Z798" s="193"/>
    </row>
    <row r="799">
      <c r="A799" s="329"/>
      <c r="B799" s="189" t="s">
        <v>1150</v>
      </c>
      <c r="C799" s="154" t="s">
        <v>2808</v>
      </c>
      <c r="D799" s="154" t="s">
        <v>40</v>
      </c>
      <c r="E799" s="151" t="s">
        <v>2809</v>
      </c>
      <c r="F799" s="123">
        <f t="shared" si="1"/>
        <v>2</v>
      </c>
      <c r="G799" s="121" t="s">
        <v>7895</v>
      </c>
      <c r="H799" s="12"/>
      <c r="I799" s="192" t="str">
        <f>IFERROR(__xludf.DUMMYFUNCTION("regexreplace(lower(C799), ""_"", """")"),"postneuroexamclonussustained")</f>
        <v>postneuroexamclonussustained</v>
      </c>
      <c r="J799" s="192" t="b">
        <f t="shared" si="52"/>
        <v>0</v>
      </c>
      <c r="K799" s="192" t="str">
        <f>IFERROR(__xludf.DUMMYFUNCTION("regexreplace(G799, ""_"", """")"),"posttreatneuroexamclonussustained")</f>
        <v>posttreatneuroexamclonussustained</v>
      </c>
      <c r="L7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799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""$1$2"")"),"post__neuro_exam_clonus_sustained")</f>
        <v>post__neuro_exam_clonus_sustained</v>
      </c>
      <c r="M799" s="193"/>
      <c r="N799" s="202"/>
      <c r="O799" s="193"/>
      <c r="P799" s="202" t="s">
        <v>2811</v>
      </c>
      <c r="Q799" s="151" t="s">
        <v>2812</v>
      </c>
      <c r="R799" s="207"/>
      <c r="S799" s="207"/>
      <c r="T799" s="193"/>
      <c r="U799" s="193"/>
      <c r="V799" s="193"/>
      <c r="W799" s="193"/>
      <c r="X799" s="193"/>
      <c r="Y799" s="193"/>
      <c r="Z799" s="193"/>
    </row>
    <row r="800">
      <c r="A800" s="329"/>
      <c r="B800" s="189" t="s">
        <v>1150</v>
      </c>
      <c r="C800" s="154" t="s">
        <v>2813</v>
      </c>
      <c r="D800" s="154" t="s">
        <v>40</v>
      </c>
      <c r="E800" s="151" t="s">
        <v>2814</v>
      </c>
      <c r="F800" s="123">
        <f t="shared" si="1"/>
        <v>2</v>
      </c>
      <c r="G800" s="121" t="s">
        <v>7896</v>
      </c>
      <c r="H800" s="12"/>
      <c r="I800" s="192" t="str">
        <f>IFERROR(__xludf.DUMMYFUNCTION("regexreplace(lower(C800), ""_"", """")"),"postneuroexamfistedhand")</f>
        <v>postneuroexamfistedhand</v>
      </c>
      <c r="J800" s="192" t="b">
        <f t="shared" si="52"/>
        <v>0</v>
      </c>
      <c r="K800" s="192" t="str">
        <f>IFERROR(__xludf.DUMMYFUNCTION("regexreplace(G800, ""_"", """")"),"posttreatneuroexamfistedhand")</f>
        <v>posttreatneuroexamfistedhand</v>
      </c>
      <c r="L8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""$1$2"")"),"post__neuro_exam_fisted_hand")</f>
        <v>post__neuro_exam_fisted_hand</v>
      </c>
      <c r="M800" s="193"/>
      <c r="N800" s="202"/>
      <c r="O800" s="193"/>
      <c r="P800" s="202" t="s">
        <v>2816</v>
      </c>
      <c r="Q800" s="151" t="s">
        <v>2817</v>
      </c>
      <c r="R800" s="207"/>
      <c r="S800" s="207"/>
      <c r="T800" s="193"/>
      <c r="U800" s="193"/>
      <c r="V800" s="193"/>
      <c r="W800" s="193"/>
      <c r="X800" s="193"/>
      <c r="Y800" s="193"/>
      <c r="Z800" s="193"/>
    </row>
    <row r="801">
      <c r="A801" s="329"/>
      <c r="B801" s="189" t="s">
        <v>1150</v>
      </c>
      <c r="C801" s="154" t="s">
        <v>2818</v>
      </c>
      <c r="D801" s="154" t="s">
        <v>40</v>
      </c>
      <c r="E801" s="151" t="s">
        <v>2819</v>
      </c>
      <c r="F801" s="123">
        <f t="shared" si="1"/>
        <v>2</v>
      </c>
      <c r="G801" s="121" t="s">
        <v>7897</v>
      </c>
      <c r="H801" s="12"/>
      <c r="I801" s="192" t="str">
        <f>IFERROR(__xludf.DUMMYFUNCTION("regexreplace(lower(C801), ""_"", """")"),"postneuroexamabnormalmovement")</f>
        <v>postneuroexamabnormalmovement</v>
      </c>
      <c r="J801" s="192" t="b">
        <f t="shared" si="52"/>
        <v>0</v>
      </c>
      <c r="K801" s="192" t="str">
        <f>IFERROR(__xludf.DUMMYFUNCTION("regexreplace(G801, ""_"", """")"),"posttreatneuroexamabnormalmovement")</f>
        <v>posttreatneuroexamabnormalmovement</v>
      </c>
      <c r="L8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""$1$2"")"),"post__neuro_exam_abnormal_movement")</f>
        <v>post__neuro_exam_abnormal_movement</v>
      </c>
      <c r="M801" s="193"/>
      <c r="N801" s="202"/>
      <c r="O801" s="193"/>
      <c r="P801" s="202" t="s">
        <v>2821</v>
      </c>
      <c r="Q801" s="151" t="s">
        <v>2822</v>
      </c>
      <c r="R801" s="207"/>
      <c r="S801" s="207"/>
      <c r="T801" s="193"/>
      <c r="U801" s="193"/>
      <c r="V801" s="193"/>
      <c r="W801" s="193"/>
      <c r="X801" s="193"/>
      <c r="Y801" s="193"/>
      <c r="Z801" s="193"/>
    </row>
    <row r="802">
      <c r="A802" s="329"/>
      <c r="B802" s="189" t="s">
        <v>1150</v>
      </c>
      <c r="C802" s="154" t="s">
        <v>2823</v>
      </c>
      <c r="D802" s="154" t="s">
        <v>40</v>
      </c>
      <c r="E802" s="151" t="s">
        <v>2824</v>
      </c>
      <c r="F802" s="123">
        <f t="shared" si="1"/>
        <v>2</v>
      </c>
      <c r="G802" s="121" t="s">
        <v>7898</v>
      </c>
      <c r="H802" s="12"/>
      <c r="I802" s="192" t="str">
        <f>IFERROR(__xludf.DUMMYFUNCTION("regexreplace(lower(C802), ""_"", """")"),"postneuroexamgagreflexabsent")</f>
        <v>postneuroexamgagreflexabsent</v>
      </c>
      <c r="J802" s="192" t="b">
        <f t="shared" si="52"/>
        <v>0</v>
      </c>
      <c r="K802" s="192" t="str">
        <f>IFERROR(__xludf.DUMMYFUNCTION("regexreplace(G802, ""_"", """")"),"posttreatneuroexamgagreflexabsent")</f>
        <v>posttreatneuroexamgagreflexabsent</v>
      </c>
      <c r="L8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""$1$2"")"),"post__neuro_exam_gag_reflex_absent")</f>
        <v>post__neuro_exam_gag_reflex_absent</v>
      </c>
      <c r="M802" s="193"/>
      <c r="N802" s="202"/>
      <c r="O802" s="193"/>
      <c r="P802" s="202" t="s">
        <v>2826</v>
      </c>
      <c r="Q802" s="151" t="s">
        <v>2827</v>
      </c>
      <c r="R802" s="207"/>
      <c r="S802" s="207"/>
      <c r="T802" s="193"/>
      <c r="U802" s="193"/>
      <c r="V802" s="193"/>
      <c r="W802" s="193"/>
      <c r="X802" s="193"/>
      <c r="Y802" s="193"/>
      <c r="Z802" s="193"/>
    </row>
    <row r="803" ht="17.25" customHeight="1">
      <c r="A803" s="329"/>
      <c r="B803" s="189" t="s">
        <v>1150</v>
      </c>
      <c r="C803" s="154" t="s">
        <v>2828</v>
      </c>
      <c r="D803" s="154" t="s">
        <v>40</v>
      </c>
      <c r="E803" s="153" t="s">
        <v>2829</v>
      </c>
      <c r="F803" s="123">
        <f t="shared" si="1"/>
        <v>1</v>
      </c>
      <c r="G803" s="121" t="s">
        <v>7899</v>
      </c>
      <c r="H803" s="12"/>
      <c r="I803" s="192" t="str">
        <f>IFERROR(__xludf.DUMMYFUNCTION("regexreplace(lower(C803), ""_"", """")"),"postneuroexamhypertonia")</f>
        <v>postneuroexamhypertonia</v>
      </c>
      <c r="J803" s="192" t="b">
        <f t="shared" si="52"/>
        <v>0</v>
      </c>
      <c r="K803" s="192" t="str">
        <f>IFERROR(__xludf.DUMMYFUNCTION("regexreplace(G803, ""_"", """")"),"posttreatneuroexamhypertonia")</f>
        <v>posttreatneuroexamhypertonia</v>
      </c>
      <c r="L8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""$1$2"")"),"post__neuro_exam_hypertonia")</f>
        <v>post__neuro_exam_hypertonia</v>
      </c>
      <c r="M803" s="193"/>
      <c r="N803" s="202"/>
      <c r="O803" s="193"/>
      <c r="P803" s="202" t="s">
        <v>2831</v>
      </c>
      <c r="Q803" s="199"/>
      <c r="R803" s="207"/>
      <c r="S803" s="207"/>
      <c r="T803" s="193"/>
      <c r="U803" s="193"/>
      <c r="V803" s="193"/>
      <c r="W803" s="193"/>
      <c r="X803" s="193"/>
      <c r="Y803" s="193"/>
      <c r="Z803" s="193"/>
    </row>
    <row r="804" ht="17.25" customHeight="1">
      <c r="A804" s="329"/>
      <c r="B804" s="189" t="s">
        <v>1150</v>
      </c>
      <c r="C804" s="196" t="s">
        <v>2832</v>
      </c>
      <c r="D804" s="154" t="s">
        <v>40</v>
      </c>
      <c r="E804" s="332"/>
      <c r="F804" s="123">
        <f t="shared" si="1"/>
        <v>1</v>
      </c>
      <c r="G804" s="121" t="s">
        <v>7900</v>
      </c>
      <c r="H804" s="39"/>
      <c r="I804" s="192" t="str">
        <f>IFERROR(__xludf.DUMMYFUNCTION("regexreplace(lower(C804), ""_"", """")"),"postneuroexamasymtonicneckreflex")</f>
        <v>postneuroexamasymtonicneckreflex</v>
      </c>
      <c r="J804" s="192" t="b">
        <f t="shared" si="52"/>
        <v>0</v>
      </c>
      <c r="K804" s="192" t="str">
        <f>IFERROR(__xludf.DUMMYFUNCTION("regexreplace(G804, ""_"", """")"),"posttreatneuroexamasymtonicneckreflex")</f>
        <v>posttreatneuroexamasymtonicneckreflex</v>
      </c>
      <c r="L8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""$1$2"")"),"post__neuro_exam_asym_tonic_neck_reflex")</f>
        <v>post__neuro_exam_asym_tonic_neck_reflex</v>
      </c>
      <c r="M804" s="193"/>
      <c r="N804" s="202"/>
      <c r="O804" s="193"/>
      <c r="P804" s="202"/>
      <c r="Q804" s="151" t="s">
        <v>2834</v>
      </c>
      <c r="R804" s="207"/>
      <c r="S804" s="207"/>
      <c r="T804" s="193"/>
      <c r="U804" s="193"/>
      <c r="V804" s="193"/>
      <c r="W804" s="193"/>
      <c r="X804" s="193"/>
      <c r="Y804" s="193"/>
      <c r="Z804" s="193"/>
    </row>
    <row r="805">
      <c r="A805" s="45"/>
      <c r="B805" s="45"/>
      <c r="C805" s="45"/>
      <c r="D805" s="45"/>
      <c r="E805" s="295" t="s">
        <v>7901</v>
      </c>
      <c r="F805" s="123">
        <f t="shared" si="1"/>
        <v>0</v>
      </c>
      <c r="G805" s="45" t="s">
        <v>851</v>
      </c>
      <c r="H805" s="45"/>
      <c r="I805" s="45" t="str">
        <f>IFERROR(__xludf.DUMMYFUNCTION("regexreplace(lower(C805), ""_"", """")"),"")</f>
        <v/>
      </c>
      <c r="J805" s="274" t="b">
        <f t="shared" si="52"/>
        <v>1</v>
      </c>
      <c r="K805" s="45" t="str">
        <f>IFERROR(__xludf.DUMMYFUNCTION("regexreplace(G805, ""_"", """")"),"")</f>
        <v/>
      </c>
      <c r="L805" s="45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05" s="275"/>
      <c r="N805" s="71"/>
      <c r="O805" s="275"/>
      <c r="P805" s="71"/>
      <c r="Q805" s="333"/>
      <c r="R805" s="275"/>
      <c r="S805" s="275"/>
      <c r="T805" s="275"/>
      <c r="U805" s="275"/>
      <c r="V805" s="275"/>
      <c r="W805" s="275"/>
      <c r="X805" s="275"/>
      <c r="Y805" s="275"/>
      <c r="Z805" s="275"/>
    </row>
    <row r="806">
      <c r="A806" s="33"/>
      <c r="B806" s="33"/>
      <c r="C806" s="12"/>
      <c r="D806" s="12"/>
      <c r="E806" s="15"/>
      <c r="F806" s="123">
        <f t="shared" si="1"/>
        <v>0</v>
      </c>
      <c r="G806" s="12"/>
      <c r="H806" s="12"/>
      <c r="I806" s="12"/>
      <c r="J806" s="12"/>
      <c r="K806" s="12"/>
      <c r="L806" s="12"/>
      <c r="N806" s="15"/>
      <c r="P806" s="15"/>
      <c r="Q806" s="15"/>
      <c r="R806" s="88"/>
      <c r="S806" s="88"/>
    </row>
    <row r="807">
      <c r="A807" s="246" t="s">
        <v>2576</v>
      </c>
      <c r="B807" s="119" t="s">
        <v>2835</v>
      </c>
      <c r="C807" s="121" t="s">
        <v>15</v>
      </c>
      <c r="D807" s="121" t="s">
        <v>16</v>
      </c>
      <c r="E807" s="221"/>
      <c r="F807" s="123">
        <f t="shared" si="1"/>
        <v>1</v>
      </c>
      <c r="G807" s="121" t="s">
        <v>18</v>
      </c>
      <c r="H807" s="12"/>
      <c r="I807" s="192" t="str">
        <f>IFERROR(__xludf.DUMMYFUNCTION("regexreplace(lower(C807), ""_"", """")"),"subjectid")</f>
        <v>subjectid</v>
      </c>
      <c r="J807" s="192" t="b">
        <f t="shared" ref="J807:J851" si="53">exact(I807, K807)</f>
        <v>1</v>
      </c>
      <c r="K807" s="192" t="str">
        <f>IFERROR(__xludf.DUMMYFUNCTION("regexreplace(G807, ""_"", """")"),"subjectid")</f>
        <v>subjectid</v>
      </c>
      <c r="L8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""$1$2"")"),"subject_id")</f>
        <v>subject_id</v>
      </c>
      <c r="M807" s="125"/>
      <c r="N807" s="221"/>
      <c r="O807" s="125"/>
      <c r="P807" s="221"/>
      <c r="Q807" s="221" t="s">
        <v>2836</v>
      </c>
      <c r="R807" s="223"/>
      <c r="S807" s="223"/>
      <c r="T807" s="125"/>
      <c r="U807" s="125"/>
      <c r="V807" s="125"/>
      <c r="W807" s="125"/>
      <c r="X807" s="125"/>
      <c r="Y807" s="125"/>
      <c r="Z807" s="125"/>
    </row>
    <row r="808">
      <c r="A808" s="329"/>
      <c r="B808" s="119" t="s">
        <v>2835</v>
      </c>
      <c r="C808" s="121" t="s">
        <v>2837</v>
      </c>
      <c r="D808" s="121" t="s">
        <v>40</v>
      </c>
      <c r="E808" s="221" t="s">
        <v>2838</v>
      </c>
      <c r="F808" s="123">
        <f t="shared" si="1"/>
        <v>2</v>
      </c>
      <c r="G808" s="121" t="s">
        <v>2839</v>
      </c>
      <c r="H808" s="12"/>
      <c r="I808" s="192" t="str">
        <f>IFERROR(__xludf.DUMMYFUNCTION("regexreplace(lower(C808), ""_"", """")"),"mriavailable")</f>
        <v>mriavailable</v>
      </c>
      <c r="J808" s="192" t="b">
        <f t="shared" si="53"/>
        <v>1</v>
      </c>
      <c r="K808" s="192" t="str">
        <f>IFERROR(__xludf.DUMMYFUNCTION("regexreplace(G808, ""_"", """")"),"mriavailable")</f>
        <v>mriavailable</v>
      </c>
      <c r="L8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""$1$2"")"),"mri_available")</f>
        <v>mri_available</v>
      </c>
      <c r="M808" s="125"/>
      <c r="N808" s="221"/>
      <c r="O808" s="125"/>
      <c r="P808" s="221" t="s">
        <v>2840</v>
      </c>
      <c r="Q808" s="221" t="s">
        <v>2841</v>
      </c>
      <c r="R808" s="223"/>
      <c r="S808" s="223"/>
      <c r="T808" s="125"/>
      <c r="U808" s="125"/>
      <c r="V808" s="125"/>
      <c r="W808" s="125"/>
      <c r="X808" s="125"/>
      <c r="Y808" s="125"/>
      <c r="Z808" s="125"/>
    </row>
    <row r="809">
      <c r="A809" s="329"/>
      <c r="B809" s="119" t="s">
        <v>2835</v>
      </c>
      <c r="C809" s="121" t="s">
        <v>2842</v>
      </c>
      <c r="D809" s="121" t="s">
        <v>40</v>
      </c>
      <c r="E809" s="221"/>
      <c r="F809" s="123">
        <f t="shared" si="1"/>
        <v>1</v>
      </c>
      <c r="G809" s="121" t="s">
        <v>2843</v>
      </c>
      <c r="H809" s="12"/>
      <c r="I809" s="192" t="str">
        <f>IFERROR(__xludf.DUMMYFUNCTION("regexreplace(lower(C809), ""_"", """")"),"mriavailablec")</f>
        <v>mriavailablec</v>
      </c>
      <c r="J809" s="192" t="b">
        <f t="shared" si="53"/>
        <v>1</v>
      </c>
      <c r="K809" s="192" t="str">
        <f>IFERROR(__xludf.DUMMYFUNCTION("regexreplace(G809, ""_"", """")"),"mriavailablec")</f>
        <v>mriavailablec</v>
      </c>
      <c r="L8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809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""$1$2"")"),"mri_available_c")</f>
        <v>mri_available_c</v>
      </c>
      <c r="M809" s="125"/>
      <c r="N809" s="221"/>
      <c r="O809" s="125"/>
      <c r="P809" s="221"/>
      <c r="Q809" s="221" t="s">
        <v>2844</v>
      </c>
      <c r="R809" s="223"/>
      <c r="S809" s="223"/>
      <c r="T809" s="125"/>
      <c r="U809" s="125"/>
      <c r="V809" s="125"/>
      <c r="W809" s="125"/>
      <c r="X809" s="125"/>
      <c r="Y809" s="125"/>
      <c r="Z809" s="125"/>
    </row>
    <row r="810">
      <c r="A810" s="329"/>
      <c r="B810" s="119" t="s">
        <v>2835</v>
      </c>
      <c r="C810" s="121" t="s">
        <v>2845</v>
      </c>
      <c r="D810" s="121" t="s">
        <v>40</v>
      </c>
      <c r="E810" s="221" t="s">
        <v>2846</v>
      </c>
      <c r="F810" s="123">
        <f t="shared" si="1"/>
        <v>1</v>
      </c>
      <c r="G810" s="121" t="s">
        <v>2847</v>
      </c>
      <c r="H810" s="12"/>
      <c r="I810" s="192" t="str">
        <f>IFERROR(__xludf.DUMMYFUNCTION("regexreplace(lower(C810), ""_"", """")"),"mriobtain")</f>
        <v>mriobtain</v>
      </c>
      <c r="J810" s="192" t="b">
        <f t="shared" si="53"/>
        <v>1</v>
      </c>
      <c r="K810" s="192" t="str">
        <f>IFERROR(__xludf.DUMMYFUNCTION("regexreplace(G810, ""_"", """")"),"mriobtain")</f>
        <v>mriobtain</v>
      </c>
      <c r="L8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""$1$2"")"),"mri_obtain")</f>
        <v>mri_obtain</v>
      </c>
      <c r="M810" s="125"/>
      <c r="N810" s="221"/>
      <c r="O810" s="125"/>
      <c r="P810" s="221" t="s">
        <v>2848</v>
      </c>
      <c r="Q810" s="125"/>
      <c r="R810" s="223"/>
      <c r="S810" s="223"/>
      <c r="T810" s="125"/>
      <c r="U810" s="125"/>
      <c r="V810" s="125"/>
      <c r="W810" s="125"/>
      <c r="X810" s="125"/>
      <c r="Y810" s="125"/>
      <c r="Z810" s="125"/>
    </row>
    <row r="811">
      <c r="A811" s="329"/>
      <c r="B811" s="119" t="s">
        <v>2835</v>
      </c>
      <c r="C811" s="121" t="s">
        <v>2849</v>
      </c>
      <c r="D811" s="121" t="s">
        <v>2849</v>
      </c>
      <c r="E811" s="221" t="s">
        <v>2850</v>
      </c>
      <c r="F811" s="123">
        <f t="shared" si="1"/>
        <v>1</v>
      </c>
      <c r="G811" s="121" t="s">
        <v>2851</v>
      </c>
      <c r="H811" s="12"/>
      <c r="I811" s="192" t="str">
        <f>IFERROR(__xludf.DUMMYFUNCTION("regexreplace(lower(C811), ""_"", """")"),"mriobtainwindow")</f>
        <v>mriobtainwindow</v>
      </c>
      <c r="J811" s="192" t="b">
        <f t="shared" si="53"/>
        <v>1</v>
      </c>
      <c r="K811" s="192" t="str">
        <f>IFERROR(__xludf.DUMMYFUNCTION("regexreplace(G811, ""_"", """")"),"mriobtainwindow")</f>
        <v>mriobtainwindow</v>
      </c>
      <c r="L8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""$1$2"")"),"mri_obtain_window")</f>
        <v>mri_obtain_window</v>
      </c>
      <c r="M811" s="125"/>
      <c r="N811" s="221"/>
      <c r="O811" s="125"/>
      <c r="P811" s="221"/>
      <c r="Q811" s="221" t="s">
        <v>2852</v>
      </c>
      <c r="R811" s="223"/>
      <c r="S811" s="223"/>
      <c r="T811" s="125"/>
      <c r="U811" s="125"/>
      <c r="V811" s="125"/>
      <c r="W811" s="125"/>
      <c r="X811" s="125"/>
      <c r="Y811" s="125"/>
      <c r="Z811" s="125"/>
    </row>
    <row r="812">
      <c r="A812" s="329"/>
      <c r="B812" s="119" t="s">
        <v>2835</v>
      </c>
      <c r="C812" s="121" t="s">
        <v>2853</v>
      </c>
      <c r="D812" s="121" t="s">
        <v>2849</v>
      </c>
      <c r="E812" s="221"/>
      <c r="F812" s="123">
        <f t="shared" si="1"/>
        <v>1</v>
      </c>
      <c r="G812" s="121" t="s">
        <v>2854</v>
      </c>
      <c r="H812" s="12"/>
      <c r="I812" s="192" t="str">
        <f>IFERROR(__xludf.DUMMYFUNCTION("regexreplace(lower(C812), ""_"", """")"),"mriobtainwindowc")</f>
        <v>mriobtainwindowc</v>
      </c>
      <c r="J812" s="192" t="b">
        <f t="shared" si="53"/>
        <v>1</v>
      </c>
      <c r="K812" s="192" t="str">
        <f>IFERROR(__xludf.DUMMYFUNCTION("regexreplace(G812, ""_"", """")"),"mriobtainwindowc")</f>
        <v>mriobtainwindowc</v>
      </c>
      <c r="L8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""$1$2"")"),"mri_obtain_window_c")</f>
        <v>mri_obtain_window_c</v>
      </c>
      <c r="M812" s="125"/>
      <c r="N812" s="221"/>
      <c r="O812" s="125"/>
      <c r="P812" s="221"/>
      <c r="Q812" s="221" t="s">
        <v>2855</v>
      </c>
      <c r="R812" s="223"/>
      <c r="S812" s="223"/>
      <c r="T812" s="125"/>
      <c r="U812" s="125"/>
      <c r="V812" s="125"/>
      <c r="W812" s="125"/>
      <c r="X812" s="125"/>
      <c r="Y812" s="125"/>
      <c r="Z812" s="125"/>
    </row>
    <row r="813">
      <c r="A813" s="329"/>
      <c r="B813" s="119" t="s">
        <v>2835</v>
      </c>
      <c r="C813" s="121" t="s">
        <v>2856</v>
      </c>
      <c r="D813" s="121" t="s">
        <v>26</v>
      </c>
      <c r="E813" s="221" t="s">
        <v>2857</v>
      </c>
      <c r="F813" s="123">
        <f t="shared" si="1"/>
        <v>1</v>
      </c>
      <c r="G813" s="121" t="s">
        <v>2858</v>
      </c>
      <c r="H813" s="12"/>
      <c r="I813" s="192" t="str">
        <f>IFERROR(__xludf.DUMMYFUNCTION("regexreplace(lower(C813), ""_"", """")"),"mridate")</f>
        <v>mridate</v>
      </c>
      <c r="J813" s="192" t="b">
        <f t="shared" si="53"/>
        <v>1</v>
      </c>
      <c r="K813" s="192" t="str">
        <f>IFERROR(__xludf.DUMMYFUNCTION("regexreplace(G813, ""_"", """")"),"mridate")</f>
        <v>mridate</v>
      </c>
      <c r="L8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13" s="125"/>
      <c r="N813" s="334" t="s">
        <v>7542</v>
      </c>
      <c r="O813" s="125"/>
      <c r="P813" s="221" t="s">
        <v>2859</v>
      </c>
      <c r="Q813" s="223"/>
      <c r="R813" s="223"/>
      <c r="S813" s="223"/>
      <c r="T813" s="125"/>
      <c r="U813" s="125"/>
      <c r="V813" s="125"/>
      <c r="W813" s="125"/>
      <c r="X813" s="125"/>
      <c r="Y813" s="125"/>
      <c r="Z813" s="125"/>
    </row>
    <row r="814">
      <c r="A814" s="329"/>
      <c r="B814" s="119" t="s">
        <v>2835</v>
      </c>
      <c r="C814" s="121" t="s">
        <v>2860</v>
      </c>
      <c r="D814" s="121" t="s">
        <v>145</v>
      </c>
      <c r="E814" s="221" t="s">
        <v>2861</v>
      </c>
      <c r="F814" s="123">
        <f t="shared" si="1"/>
        <v>1</v>
      </c>
      <c r="G814" s="121" t="s">
        <v>2862</v>
      </c>
      <c r="H814" s="12"/>
      <c r="I814" s="192" t="str">
        <f>IFERROR(__xludf.DUMMYFUNCTION("regexreplace(lower(C814), ""_"", """")"),"mritime")</f>
        <v>mritime</v>
      </c>
      <c r="J814" s="192" t="b">
        <f t="shared" si="53"/>
        <v>1</v>
      </c>
      <c r="K814" s="192" t="str">
        <f>IFERROR(__xludf.DUMMYFUNCTION("regexreplace(G814, ""_"", """")"),"mritime")</f>
        <v>mritime</v>
      </c>
      <c r="L8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""$1$2"")"),"mri_time")</f>
        <v>mri_time</v>
      </c>
      <c r="M814" s="125"/>
      <c r="N814" s="221"/>
      <c r="O814" s="125"/>
      <c r="P814" s="221" t="s">
        <v>2863</v>
      </c>
      <c r="Q814" s="223"/>
      <c r="R814" s="223"/>
      <c r="S814" s="223"/>
      <c r="T814" s="125"/>
      <c r="U814" s="125"/>
      <c r="V814" s="125"/>
      <c r="W814" s="125"/>
      <c r="X814" s="125"/>
      <c r="Y814" s="125"/>
      <c r="Z814" s="125"/>
    </row>
    <row r="815">
      <c r="A815" s="329"/>
      <c r="B815" s="119" t="s">
        <v>2835</v>
      </c>
      <c r="C815" s="121" t="s">
        <v>2864</v>
      </c>
      <c r="D815" s="121" t="s">
        <v>16</v>
      </c>
      <c r="E815" s="221"/>
      <c r="F815" s="123">
        <f t="shared" si="1"/>
        <v>1</v>
      </c>
      <c r="G815" s="121" t="s">
        <v>2865</v>
      </c>
      <c r="H815" s="12"/>
      <c r="I815" s="192" t="str">
        <f>IFERROR(__xludf.DUMMYFUNCTION("regexreplace(lower(C815), ""_"", """")"),"mriobtaincomment")</f>
        <v>mriobtaincomment</v>
      </c>
      <c r="J815" s="192" t="b">
        <f t="shared" si="53"/>
        <v>1</v>
      </c>
      <c r="K815" s="192" t="str">
        <f>IFERROR(__xludf.DUMMYFUNCTION("regexreplace(G815, ""_"", """")"),"mriobtaincomment")</f>
        <v>mriobtaincomment</v>
      </c>
      <c r="L8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""$1$2"")"),"mri_obtain_comment")</f>
        <v>mri_obtain_comment</v>
      </c>
      <c r="M815" s="125"/>
      <c r="N815" s="221"/>
      <c r="O815" s="125"/>
      <c r="P815" s="221"/>
      <c r="Q815" s="221" t="s">
        <v>2866</v>
      </c>
      <c r="R815" s="223"/>
      <c r="S815" s="223"/>
      <c r="T815" s="125"/>
      <c r="U815" s="125"/>
      <c r="V815" s="125"/>
      <c r="W815" s="125"/>
      <c r="X815" s="125"/>
      <c r="Y815" s="125"/>
      <c r="Z815" s="125"/>
    </row>
    <row r="816">
      <c r="A816" s="329"/>
      <c r="B816" s="119" t="s">
        <v>2835</v>
      </c>
      <c r="C816" s="121" t="s">
        <v>2867</v>
      </c>
      <c r="D816" s="121" t="s">
        <v>26</v>
      </c>
      <c r="E816" s="221" t="s">
        <v>2868</v>
      </c>
      <c r="F816" s="123">
        <f t="shared" si="1"/>
        <v>2</v>
      </c>
      <c r="G816" s="121" t="s">
        <v>2869</v>
      </c>
      <c r="H816" s="12"/>
      <c r="I816" s="192" t="str">
        <f>IFERROR(__xludf.DUMMYFUNCTION("regexreplace(lower(C816), ""_"", """")"),"mrisendrtidate")</f>
        <v>mrisendrtidate</v>
      </c>
      <c r="J816" s="192" t="b">
        <f t="shared" si="53"/>
        <v>1</v>
      </c>
      <c r="K816" s="192" t="str">
        <f>IFERROR(__xludf.DUMMYFUNCTION("regexreplace(G816, ""_"", """")"),"mrisendrtidate")</f>
        <v>mrisendrtidate</v>
      </c>
      <c r="L8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""$1$2"")"),"mri_send_rti_date")</f>
        <v>mri_send_rti_date</v>
      </c>
      <c r="M816" s="125"/>
      <c r="N816" s="221"/>
      <c r="O816" s="125"/>
      <c r="P816" s="221" t="s">
        <v>2870</v>
      </c>
      <c r="Q816" s="221" t="s">
        <v>2871</v>
      </c>
      <c r="R816" s="223"/>
      <c r="S816" s="223"/>
      <c r="T816" s="125"/>
      <c r="U816" s="125"/>
      <c r="V816" s="125"/>
      <c r="W816" s="125"/>
      <c r="X816" s="125"/>
      <c r="Y816" s="125"/>
      <c r="Z816" s="125"/>
    </row>
    <row r="817">
      <c r="A817" s="329"/>
      <c r="B817" s="119" t="s">
        <v>2835</v>
      </c>
      <c r="C817" s="121" t="s">
        <v>2872</v>
      </c>
      <c r="D817" s="121" t="s">
        <v>26</v>
      </c>
      <c r="E817" s="221" t="s">
        <v>2873</v>
      </c>
      <c r="F817" s="123">
        <f t="shared" si="1"/>
        <v>1</v>
      </c>
      <c r="G817" s="121" t="s">
        <v>2874</v>
      </c>
      <c r="H817" s="12"/>
      <c r="I817" s="192" t="str">
        <f>IFERROR(__xludf.DUMMYFUNCTION("regexreplace(lower(C817), ""_"", """")"),"mrireceivertidate")</f>
        <v>mrireceivertidate</v>
      </c>
      <c r="J817" s="192" t="b">
        <f t="shared" si="53"/>
        <v>1</v>
      </c>
      <c r="K817" s="192" t="str">
        <f>IFERROR(__xludf.DUMMYFUNCTION("regexreplace(G817, ""_"", """")"),"mrireceivertidate")</f>
        <v>mrireceivertidate</v>
      </c>
      <c r="L8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""$1$2"")"),"mri_receive_rti_date")</f>
        <v>mri_receive_rti_date</v>
      </c>
      <c r="M817" s="125"/>
      <c r="N817" s="221"/>
      <c r="O817" s="125"/>
      <c r="P817" s="221"/>
      <c r="Q817" s="221" t="s">
        <v>2875</v>
      </c>
      <c r="R817" s="223"/>
      <c r="S817" s="223"/>
      <c r="T817" s="125"/>
      <c r="U817" s="125"/>
      <c r="V817" s="125"/>
      <c r="W817" s="125"/>
      <c r="X817" s="125"/>
      <c r="Y817" s="125"/>
      <c r="Z817" s="125"/>
    </row>
    <row r="818">
      <c r="A818" s="329"/>
      <c r="B818" s="119" t="s">
        <v>2835</v>
      </c>
      <c r="C818" s="121" t="s">
        <v>2876</v>
      </c>
      <c r="D818" s="121" t="s">
        <v>2876</v>
      </c>
      <c r="E818" s="221" t="s">
        <v>2877</v>
      </c>
      <c r="F818" s="123">
        <f t="shared" si="1"/>
        <v>2</v>
      </c>
      <c r="G818" s="121" t="s">
        <v>2878</v>
      </c>
      <c r="H818" s="12"/>
      <c r="I818" s="192" t="str">
        <f>IFERROR(__xludf.DUMMYFUNCTION("regexreplace(lower(C818), ""_"", """")"),"mrinoobtainreason")</f>
        <v>mrinoobtainreason</v>
      </c>
      <c r="J818" s="192" t="b">
        <f t="shared" si="53"/>
        <v>1</v>
      </c>
      <c r="K818" s="192" t="str">
        <f>IFERROR(__xludf.DUMMYFUNCTION("regexreplace(G818, ""_"", """")"),"mrinoobtainreason")</f>
        <v>mrinoobtainreason</v>
      </c>
      <c r="L8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""$1$2"")"),"mri_no_obtain_reason")</f>
        <v>mri_no_obtain_reason</v>
      </c>
      <c r="M818" s="125"/>
      <c r="N818" s="221"/>
      <c r="O818" s="125"/>
      <c r="P818" s="221" t="s">
        <v>2879</v>
      </c>
      <c r="Q818" s="221" t="s">
        <v>2880</v>
      </c>
      <c r="R818" s="223"/>
      <c r="S818" s="223"/>
      <c r="T818" s="125"/>
      <c r="U818" s="125"/>
      <c r="V818" s="125"/>
      <c r="W818" s="125"/>
      <c r="X818" s="125"/>
      <c r="Y818" s="125"/>
      <c r="Z818" s="125"/>
    </row>
    <row r="819">
      <c r="A819" s="329"/>
      <c r="B819" s="119" t="s">
        <v>2835</v>
      </c>
      <c r="C819" s="121" t="s">
        <v>2881</v>
      </c>
      <c r="D819" s="121" t="s">
        <v>2876</v>
      </c>
      <c r="E819" s="221"/>
      <c r="F819" s="123">
        <f t="shared" si="1"/>
        <v>1</v>
      </c>
      <c r="G819" s="121" t="s">
        <v>2882</v>
      </c>
      <c r="H819" s="12"/>
      <c r="I819" s="192" t="str">
        <f>IFERROR(__xludf.DUMMYFUNCTION("regexreplace(lower(C819), ""_"", """")"),"mrinoobtainreasonc")</f>
        <v>mrinoobtainreasonc</v>
      </c>
      <c r="J819" s="192" t="b">
        <f t="shared" si="53"/>
        <v>1</v>
      </c>
      <c r="K819" s="192" t="str">
        <f>IFERROR(__xludf.DUMMYFUNCTION("regexreplace(G819, ""_"", """")"),"mrinoobtainreasonc")</f>
        <v>mrinoobtainreasonc</v>
      </c>
      <c r="L8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819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""$1$2"")"),"mri_no_obtain_reason_c")</f>
        <v>mri_no_obtain_reason_c</v>
      </c>
      <c r="M819" s="125"/>
      <c r="N819" s="221"/>
      <c r="O819" s="125"/>
      <c r="P819" s="221"/>
      <c r="Q819" s="221" t="s">
        <v>2883</v>
      </c>
      <c r="R819" s="223"/>
      <c r="S819" s="223"/>
      <c r="T819" s="125"/>
      <c r="U819" s="125"/>
      <c r="V819" s="125"/>
      <c r="W819" s="125"/>
      <c r="X819" s="125"/>
      <c r="Y819" s="125"/>
      <c r="Z819" s="125"/>
    </row>
    <row r="820">
      <c r="A820" s="329"/>
      <c r="B820" s="119" t="s">
        <v>2835</v>
      </c>
      <c r="C820" s="121" t="s">
        <v>2884</v>
      </c>
      <c r="D820" s="121" t="s">
        <v>16</v>
      </c>
      <c r="E820" s="221" t="s">
        <v>2885</v>
      </c>
      <c r="F820" s="123">
        <f t="shared" si="1"/>
        <v>1</v>
      </c>
      <c r="G820" s="121" t="s">
        <v>2886</v>
      </c>
      <c r="H820" s="12"/>
      <c r="I820" s="192" t="str">
        <f>IFERROR(__xludf.DUMMYFUNCTION("regexreplace(lower(C820), ""_"", """")"),"mrinoobtainreasontext")</f>
        <v>mrinoobtainreasontext</v>
      </c>
      <c r="J820" s="192" t="b">
        <f t="shared" si="53"/>
        <v>1</v>
      </c>
      <c r="K820" s="192" t="str">
        <f>IFERROR(__xludf.DUMMYFUNCTION("regexreplace(G820, ""_"", """")"),"mrinoobtainreasontext")</f>
        <v>mrinoobtainreasontext</v>
      </c>
      <c r="L8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""$1$2"")"),"mri_no_obtain_reason_text")</f>
        <v>mri_no_obtain_reason_text</v>
      </c>
      <c r="M820" s="125"/>
      <c r="N820" s="221"/>
      <c r="O820" s="125"/>
      <c r="P820" s="221"/>
      <c r="Q820" s="221" t="s">
        <v>2887</v>
      </c>
      <c r="R820" s="223"/>
      <c r="S820" s="223"/>
      <c r="T820" s="125"/>
      <c r="U820" s="125"/>
      <c r="V820" s="125"/>
      <c r="W820" s="125"/>
      <c r="X820" s="125"/>
      <c r="Y820" s="125"/>
      <c r="Z820" s="125"/>
    </row>
    <row r="821">
      <c r="A821" s="329"/>
      <c r="B821" s="119" t="s">
        <v>2835</v>
      </c>
      <c r="C821" s="121" t="s">
        <v>2856</v>
      </c>
      <c r="D821" s="121" t="s">
        <v>26</v>
      </c>
      <c r="E821" s="221" t="s">
        <v>2857</v>
      </c>
      <c r="F821" s="123">
        <f t="shared" si="1"/>
        <v>2</v>
      </c>
      <c r="G821" s="121" t="s">
        <v>2858</v>
      </c>
      <c r="H821" s="12"/>
      <c r="I821" s="192" t="str">
        <f>IFERROR(__xludf.DUMMYFUNCTION("regexreplace(lower(C821), ""_"", """")"),"mridate")</f>
        <v>mridate</v>
      </c>
      <c r="J821" s="192" t="b">
        <f t="shared" si="53"/>
        <v>1</v>
      </c>
      <c r="K821" s="192" t="str">
        <f>IFERROR(__xludf.DUMMYFUNCTION("regexreplace(G821, ""_"", """")"),"mridate")</f>
        <v>mridate</v>
      </c>
      <c r="L8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21" s="125"/>
      <c r="N821" s="221"/>
      <c r="O821" s="125"/>
      <c r="P821" s="221" t="s">
        <v>2888</v>
      </c>
      <c r="Q821" s="221" t="s">
        <v>2889</v>
      </c>
      <c r="R821" s="223"/>
      <c r="S821" s="223"/>
      <c r="T821" s="125"/>
      <c r="U821" s="125"/>
      <c r="V821" s="125"/>
      <c r="W821" s="125"/>
      <c r="X821" s="125"/>
      <c r="Y821" s="125"/>
      <c r="Z821" s="125"/>
    </row>
    <row r="822">
      <c r="A822" s="329"/>
      <c r="B822" s="119" t="s">
        <v>2835</v>
      </c>
      <c r="C822" s="121" t="s">
        <v>2860</v>
      </c>
      <c r="D822" s="121" t="s">
        <v>145</v>
      </c>
      <c r="E822" s="221" t="s">
        <v>2861</v>
      </c>
      <c r="F822" s="123">
        <f t="shared" si="1"/>
        <v>2</v>
      </c>
      <c r="G822" s="121" t="s">
        <v>2862</v>
      </c>
      <c r="H822" s="12"/>
      <c r="I822" s="192" t="str">
        <f>IFERROR(__xludf.DUMMYFUNCTION("regexreplace(lower(C822), ""_"", """")"),"mritime")</f>
        <v>mritime</v>
      </c>
      <c r="J822" s="192" t="b">
        <f t="shared" si="53"/>
        <v>1</v>
      </c>
      <c r="K822" s="192" t="str">
        <f>IFERROR(__xludf.DUMMYFUNCTION("regexreplace(G822, ""_"", """")"),"mritime")</f>
        <v>mritime</v>
      </c>
      <c r="L8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""$1$2"")"),"mri_time")</f>
        <v>mri_time</v>
      </c>
      <c r="M822" s="125"/>
      <c r="N822" s="221"/>
      <c r="O822" s="125"/>
      <c r="P822" s="221" t="s">
        <v>2890</v>
      </c>
      <c r="Q822" s="221" t="s">
        <v>2891</v>
      </c>
      <c r="R822" s="223"/>
      <c r="S822" s="223"/>
      <c r="T822" s="125"/>
      <c r="U822" s="125"/>
      <c r="V822" s="125"/>
      <c r="W822" s="125"/>
      <c r="X822" s="125"/>
      <c r="Y822" s="125"/>
      <c r="Z822" s="125"/>
    </row>
    <row r="823">
      <c r="A823" s="329"/>
      <c r="B823" s="119" t="s">
        <v>2835</v>
      </c>
      <c r="C823" s="121" t="s">
        <v>2892</v>
      </c>
      <c r="D823" s="121" t="s">
        <v>40</v>
      </c>
      <c r="E823" s="221" t="s">
        <v>2893</v>
      </c>
      <c r="F823" s="123">
        <f t="shared" si="1"/>
        <v>1</v>
      </c>
      <c r="G823" s="121" t="s">
        <v>2894</v>
      </c>
      <c r="H823" s="12"/>
      <c r="I823" s="192" t="str">
        <f>IFERROR(__xludf.DUMMYFUNCTION("regexreplace(lower(C823), ""_"", """")"),"mriread")</f>
        <v>mriread</v>
      </c>
      <c r="J823" s="192" t="b">
        <f t="shared" si="53"/>
        <v>1</v>
      </c>
      <c r="K823" s="192" t="str">
        <f>IFERROR(__xludf.DUMMYFUNCTION("regexreplace(G823, ""_"", """")"),"mriread")</f>
        <v>mriread</v>
      </c>
      <c r="L8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""$1$2"")"),"mri_read")</f>
        <v>mri_read</v>
      </c>
      <c r="M823" s="125"/>
      <c r="N823" s="221"/>
      <c r="O823" s="125"/>
      <c r="P823" s="221" t="s">
        <v>2895</v>
      </c>
      <c r="Q823" s="223"/>
      <c r="R823" s="223"/>
      <c r="S823" s="223"/>
      <c r="T823" s="125"/>
      <c r="U823" s="125"/>
      <c r="V823" s="125"/>
      <c r="W823" s="125"/>
      <c r="X823" s="125"/>
      <c r="Y823" s="125"/>
      <c r="Z823" s="125"/>
    </row>
    <row r="824">
      <c r="A824" s="329"/>
      <c r="B824" s="119" t="s">
        <v>2835</v>
      </c>
      <c r="C824" s="121" t="s">
        <v>2896</v>
      </c>
      <c r="D824" s="128" t="s">
        <v>2897</v>
      </c>
      <c r="E824" s="221" t="s">
        <v>2898</v>
      </c>
      <c r="F824" s="123">
        <f t="shared" si="1"/>
        <v>1</v>
      </c>
      <c r="G824" s="121" t="s">
        <v>2899</v>
      </c>
      <c r="H824" s="12"/>
      <c r="I824" s="192" t="str">
        <f>IFERROR(__xludf.DUMMYFUNCTION("regexreplace(lower(C824), ""_"", """")"),"mriscore")</f>
        <v>mriscore</v>
      </c>
      <c r="J824" s="192" t="b">
        <f t="shared" si="53"/>
        <v>1</v>
      </c>
      <c r="K824" s="192" t="str">
        <f>IFERROR(__xludf.DUMMYFUNCTION("regexreplace(G824, ""_"", """")"),"mriscore")</f>
        <v>mriscore</v>
      </c>
      <c r="L8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""$1$2"")"),"mri_score")</f>
        <v>mri_score</v>
      </c>
      <c r="M824" s="125"/>
      <c r="N824" s="221"/>
      <c r="O824" s="125"/>
      <c r="P824" s="221" t="s">
        <v>2900</v>
      </c>
      <c r="Q824" s="223"/>
      <c r="R824" s="223"/>
      <c r="S824" s="223"/>
      <c r="T824" s="125"/>
      <c r="U824" s="125"/>
      <c r="V824" s="125"/>
      <c r="W824" s="125"/>
      <c r="X824" s="125"/>
      <c r="Y824" s="125"/>
      <c r="Z824" s="125"/>
    </row>
    <row r="825">
      <c r="A825" s="329"/>
      <c r="B825" s="119" t="s">
        <v>2835</v>
      </c>
      <c r="C825" s="121"/>
      <c r="D825" s="121" t="s">
        <v>26</v>
      </c>
      <c r="E825" s="221"/>
      <c r="F825" s="123">
        <f t="shared" si="1"/>
        <v>2</v>
      </c>
      <c r="G825" s="121" t="s">
        <v>7902</v>
      </c>
      <c r="H825" s="12"/>
      <c r="I825" s="192" t="str">
        <f>IFERROR(__xludf.DUMMYFUNCTION("regexreplace(lower(C825), ""_"", """")"),"")</f>
        <v/>
      </c>
      <c r="J825" s="192" t="b">
        <f t="shared" si="53"/>
        <v>0</v>
      </c>
      <c r="K825" s="192" t="str">
        <f>IFERROR(__xludf.DUMMYFUNCTION("regexreplace(G825, ""_"", """")"),"mridatecreate")</f>
        <v>mridatecreate</v>
      </c>
      <c r="L8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5" s="125"/>
      <c r="N825" s="221"/>
      <c r="O825" s="125"/>
      <c r="P825" s="221" t="s">
        <v>2901</v>
      </c>
      <c r="Q825" s="221" t="s">
        <v>2901</v>
      </c>
      <c r="R825" s="223"/>
      <c r="S825" s="223"/>
      <c r="T825" s="125"/>
      <c r="U825" s="125"/>
      <c r="V825" s="125"/>
      <c r="W825" s="125"/>
      <c r="X825" s="125"/>
      <c r="Y825" s="125"/>
      <c r="Z825" s="125"/>
    </row>
    <row r="826">
      <c r="A826" s="329"/>
      <c r="B826" s="119" t="s">
        <v>2835</v>
      </c>
      <c r="C826" s="121"/>
      <c r="D826" s="121" t="s">
        <v>26</v>
      </c>
      <c r="E826" s="221"/>
      <c r="F826" s="123">
        <f t="shared" si="1"/>
        <v>2</v>
      </c>
      <c r="G826" s="121" t="s">
        <v>7903</v>
      </c>
      <c r="H826" s="12"/>
      <c r="I826" s="192" t="str">
        <f>IFERROR(__xludf.DUMMYFUNCTION("regexreplace(lower(C826), ""_"", """")"),"")</f>
        <v/>
      </c>
      <c r="J826" s="192" t="b">
        <f t="shared" si="53"/>
        <v>0</v>
      </c>
      <c r="K826" s="192" t="str">
        <f>IFERROR(__xludf.DUMMYFUNCTION("regexreplace(G826, ""_"", """")"),"mridatecomplete")</f>
        <v>mridatecomplete</v>
      </c>
      <c r="L8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6" s="125"/>
      <c r="N826" s="221"/>
      <c r="O826" s="125"/>
      <c r="P826" s="221" t="s">
        <v>2902</v>
      </c>
      <c r="Q826" s="221" t="s">
        <v>2902</v>
      </c>
      <c r="R826" s="223"/>
      <c r="S826" s="223"/>
      <c r="T826" s="125"/>
      <c r="U826" s="125"/>
      <c r="V826" s="125"/>
      <c r="W826" s="125"/>
      <c r="X826" s="125"/>
      <c r="Y826" s="125"/>
      <c r="Z826" s="125"/>
    </row>
    <row r="827">
      <c r="A827" s="329"/>
      <c r="B827" s="119" t="s">
        <v>2835</v>
      </c>
      <c r="C827" s="121"/>
      <c r="D827" s="121" t="s">
        <v>16</v>
      </c>
      <c r="E827" s="221"/>
      <c r="F827" s="123">
        <f t="shared" si="1"/>
        <v>2</v>
      </c>
      <c r="G827" s="121" t="s">
        <v>7904</v>
      </c>
      <c r="H827" s="12"/>
      <c r="I827" s="192" t="str">
        <f>IFERROR(__xludf.DUMMYFUNCTION("regexreplace(lower(C827), ""_"", """")"),"")</f>
        <v/>
      </c>
      <c r="J827" s="192" t="b">
        <f t="shared" si="53"/>
        <v>0</v>
      </c>
      <c r="K827" s="192" t="str">
        <f>IFERROR(__xludf.DUMMYFUNCTION("regexreplace(G827, ""_"", """")"),"mriformstatus")</f>
        <v>mriformstatus</v>
      </c>
      <c r="L8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7" s="125"/>
      <c r="N827" s="122"/>
      <c r="O827" s="125"/>
      <c r="P827" s="122" t="s">
        <v>2903</v>
      </c>
      <c r="Q827" s="122" t="s">
        <v>2903</v>
      </c>
      <c r="R827" s="223"/>
      <c r="S827" s="223"/>
      <c r="T827" s="125"/>
      <c r="U827" s="125"/>
      <c r="V827" s="125"/>
      <c r="W827" s="125"/>
      <c r="X827" s="125"/>
      <c r="Y827" s="125"/>
      <c r="Z827" s="125"/>
    </row>
    <row r="828">
      <c r="A828" s="329"/>
      <c r="B828" s="119" t="s">
        <v>2835</v>
      </c>
      <c r="C828" s="121"/>
      <c r="D828" s="121"/>
      <c r="E828" s="221"/>
      <c r="F828" s="123">
        <f t="shared" si="1"/>
        <v>2</v>
      </c>
      <c r="G828" s="121" t="s">
        <v>851</v>
      </c>
      <c r="H828" s="12"/>
      <c r="I828" s="192" t="str">
        <f>IFERROR(__xludf.DUMMYFUNCTION("regexreplace(lower(C828), ""_"", """")"),"")</f>
        <v/>
      </c>
      <c r="J828" s="192" t="b">
        <f t="shared" si="53"/>
        <v>1</v>
      </c>
      <c r="K828" s="192" t="str">
        <f>IFERROR(__xludf.DUMMYFUNCTION("regexreplace(G828, ""_"", """")"),"")</f>
        <v/>
      </c>
      <c r="L8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28" s="125"/>
      <c r="N828" s="221"/>
      <c r="O828" s="125"/>
      <c r="P828" s="221" t="s">
        <v>2904</v>
      </c>
      <c r="Q828" s="221" t="s">
        <v>2904</v>
      </c>
      <c r="R828" s="223"/>
      <c r="S828" s="223"/>
      <c r="T828" s="125"/>
      <c r="U828" s="125"/>
      <c r="V828" s="125"/>
      <c r="W828" s="125"/>
      <c r="X828" s="125"/>
      <c r="Y828" s="125"/>
      <c r="Z828" s="125"/>
    </row>
    <row r="829">
      <c r="A829" s="329"/>
      <c r="B829" s="119" t="s">
        <v>2835</v>
      </c>
      <c r="C829" s="121" t="s">
        <v>2905</v>
      </c>
      <c r="D829" s="121" t="s">
        <v>16</v>
      </c>
      <c r="E829" s="221" t="s">
        <v>2906</v>
      </c>
      <c r="F829" s="123">
        <f t="shared" si="1"/>
        <v>2</v>
      </c>
      <c r="G829" s="121" t="s">
        <v>2907</v>
      </c>
      <c r="H829" s="12"/>
      <c r="I829" s="192" t="str">
        <f>IFERROR(__xludf.DUMMYFUNCTION("regexreplace(lower(C829), ""_"", """")"),"mriiteration")</f>
        <v>mriiteration</v>
      </c>
      <c r="J829" s="192" t="b">
        <f t="shared" si="53"/>
        <v>1</v>
      </c>
      <c r="K829" s="192" t="str">
        <f>IFERROR(__xludf.DUMMYFUNCTION("regexreplace(G829, ""_"", """")"),"mriiteration")</f>
        <v>mriiteration</v>
      </c>
      <c r="L8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""$1$2"")"),"mri_iteration")</f>
        <v>mri_iteration</v>
      </c>
      <c r="M829" s="125"/>
      <c r="N829" s="221"/>
      <c r="O829" s="125"/>
      <c r="P829" s="221" t="s">
        <v>2908</v>
      </c>
      <c r="Q829" s="221" t="s">
        <v>2908</v>
      </c>
      <c r="R829" s="223"/>
      <c r="S829" s="223"/>
      <c r="T829" s="125"/>
      <c r="U829" s="125"/>
      <c r="V829" s="125"/>
      <c r="W829" s="125"/>
      <c r="X829" s="125"/>
      <c r="Y829" s="125"/>
      <c r="Z829" s="125"/>
    </row>
    <row r="830">
      <c r="A830" s="329"/>
      <c r="B830" s="119" t="s">
        <v>2835</v>
      </c>
      <c r="C830" s="121" t="s">
        <v>2909</v>
      </c>
      <c r="D830" s="121" t="s">
        <v>31</v>
      </c>
      <c r="E830" s="221"/>
      <c r="F830" s="123">
        <f t="shared" si="1"/>
        <v>1</v>
      </c>
      <c r="G830" s="121" t="s">
        <v>2910</v>
      </c>
      <c r="H830" s="12"/>
      <c r="I830" s="192" t="str">
        <f>IFERROR(__xludf.DUMMYFUNCTION("regexreplace(lower(C830), ""_"", """")"),"mriincrement")</f>
        <v>mriincrement</v>
      </c>
      <c r="J830" s="192" t="b">
        <f t="shared" si="53"/>
        <v>1</v>
      </c>
      <c r="K830" s="192" t="str">
        <f>IFERROR(__xludf.DUMMYFUNCTION("regexreplace(G830, ""_"", """")"),"mriincrement")</f>
        <v>mriincrement</v>
      </c>
      <c r="L8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""$1$2"")"),"mri_increment")</f>
        <v>mri_increment</v>
      </c>
      <c r="M830" s="125"/>
      <c r="N830" s="221"/>
      <c r="O830" s="125"/>
      <c r="P830" s="221"/>
      <c r="Q830" s="221" t="s">
        <v>2911</v>
      </c>
      <c r="R830" s="223"/>
      <c r="S830" s="223"/>
      <c r="T830" s="125"/>
      <c r="U830" s="125"/>
      <c r="V830" s="125"/>
      <c r="W830" s="125"/>
      <c r="X830" s="125"/>
      <c r="Y830" s="125"/>
      <c r="Z830" s="125"/>
    </row>
    <row r="831">
      <c r="A831" s="329"/>
      <c r="B831" s="119" t="s">
        <v>2835</v>
      </c>
      <c r="C831" s="121" t="s">
        <v>12</v>
      </c>
      <c r="D831" s="121" t="s">
        <v>12</v>
      </c>
      <c r="E831" s="221"/>
      <c r="F831" s="123">
        <f t="shared" si="1"/>
        <v>2</v>
      </c>
      <c r="G831" s="121" t="s">
        <v>12</v>
      </c>
      <c r="H831" s="12"/>
      <c r="I831" s="192" t="str">
        <f>IFERROR(__xludf.DUMMYFUNCTION("regexreplace(lower(C831), ""_"", """")"),"center")</f>
        <v>center</v>
      </c>
      <c r="J831" s="192" t="b">
        <f t="shared" si="53"/>
        <v>1</v>
      </c>
      <c r="K831" s="192" t="str">
        <f>IFERROR(__xludf.DUMMYFUNCTION("regexreplace(G831, ""_"", """")"),"center")</f>
        <v>center</v>
      </c>
      <c r="L8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""$1$2"")"),"center")</f>
        <v>center</v>
      </c>
      <c r="M831" s="125"/>
      <c r="N831" s="221"/>
      <c r="O831" s="125"/>
      <c r="P831" s="221" t="s">
        <v>2912</v>
      </c>
      <c r="Q831" s="221" t="s">
        <v>2912</v>
      </c>
      <c r="R831" s="223"/>
      <c r="S831" s="223"/>
      <c r="T831" s="125"/>
      <c r="U831" s="125"/>
      <c r="V831" s="125"/>
      <c r="W831" s="125"/>
      <c r="X831" s="125"/>
      <c r="Y831" s="125"/>
      <c r="Z831" s="125"/>
    </row>
    <row r="832">
      <c r="A832" s="329"/>
      <c r="B832" s="119" t="s">
        <v>2835</v>
      </c>
      <c r="C832" s="121" t="s">
        <v>2913</v>
      </c>
      <c r="D832" s="121" t="s">
        <v>16</v>
      </c>
      <c r="E832" s="221"/>
      <c r="F832" s="123">
        <f t="shared" si="1"/>
        <v>1</v>
      </c>
      <c r="G832" s="121" t="s">
        <v>2914</v>
      </c>
      <c r="H832" s="12"/>
      <c r="I832" s="192" t="str">
        <f>IFERROR(__xludf.DUMMYFUNCTION("regexreplace(lower(C832), ""_"", """")"),"mriid")</f>
        <v>mriid</v>
      </c>
      <c r="J832" s="192" t="b">
        <f t="shared" si="53"/>
        <v>1</v>
      </c>
      <c r="K832" s="192" t="str">
        <f>IFERROR(__xludf.DUMMYFUNCTION("regexreplace(G832, ""_"", """")"),"mriid")</f>
        <v>mriid</v>
      </c>
      <c r="L8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""$1$2"")"),"mri_id")</f>
        <v>mri_id</v>
      </c>
      <c r="M832" s="125"/>
      <c r="N832" s="221"/>
      <c r="O832" s="125"/>
      <c r="P832" s="221" t="s">
        <v>2915</v>
      </c>
      <c r="Q832" s="223"/>
      <c r="R832" s="223"/>
      <c r="S832" s="223"/>
      <c r="T832" s="125"/>
      <c r="U832" s="125"/>
      <c r="V832" s="125"/>
      <c r="W832" s="125"/>
      <c r="X832" s="125"/>
      <c r="Y832" s="125"/>
      <c r="Z832" s="125"/>
    </row>
    <row r="833">
      <c r="A833" s="329"/>
      <c r="B833" s="119" t="s">
        <v>2835</v>
      </c>
      <c r="C833" s="121" t="s">
        <v>15</v>
      </c>
      <c r="D833" s="121" t="s">
        <v>16</v>
      </c>
      <c r="E833" s="221"/>
      <c r="F833" s="123">
        <f t="shared" si="1"/>
        <v>1</v>
      </c>
      <c r="G833" s="121" t="s">
        <v>18</v>
      </c>
      <c r="H833" s="12"/>
      <c r="I833" s="192" t="str">
        <f>IFERROR(__xludf.DUMMYFUNCTION("regexreplace(lower(C833), ""_"", """")"),"subjectid")</f>
        <v>subjectid</v>
      </c>
      <c r="J833" s="192" t="b">
        <f t="shared" si="53"/>
        <v>1</v>
      </c>
      <c r="K833" s="192" t="str">
        <f>IFERROR(__xludf.DUMMYFUNCTION("regexreplace(G833, ""_"", """")"),"subjectid")</f>
        <v>subjectid</v>
      </c>
      <c r="L8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""$1$2"")"),"subject_id")</f>
        <v>subject_id</v>
      </c>
      <c r="M833" s="125"/>
      <c r="N833" s="221"/>
      <c r="O833" s="125"/>
      <c r="P833" s="221" t="s">
        <v>2916</v>
      </c>
      <c r="Q833" s="223"/>
      <c r="R833" s="223"/>
      <c r="S833" s="223"/>
      <c r="T833" s="125"/>
      <c r="U833" s="125"/>
      <c r="V833" s="125"/>
      <c r="W833" s="125"/>
      <c r="X833" s="125"/>
      <c r="Y833" s="125"/>
      <c r="Z833" s="125"/>
    </row>
    <row r="834">
      <c r="A834" s="329"/>
      <c r="B834" s="119" t="s">
        <v>2835</v>
      </c>
      <c r="C834" s="125"/>
      <c r="D834" s="121" t="s">
        <v>16</v>
      </c>
      <c r="E834" s="221" t="s">
        <v>2917</v>
      </c>
      <c r="F834" s="123">
        <f t="shared" si="1"/>
        <v>2</v>
      </c>
      <c r="G834" s="121" t="s">
        <v>851</v>
      </c>
      <c r="H834" s="12"/>
      <c r="I834" s="192" t="str">
        <f>IFERROR(__xludf.DUMMYFUNCTION("regexreplace(lower(C834), ""_"", """")"),"")</f>
        <v/>
      </c>
      <c r="J834" s="192" t="b">
        <f t="shared" si="53"/>
        <v>1</v>
      </c>
      <c r="K834" s="192" t="str">
        <f>IFERROR(__xludf.DUMMYFUNCTION("regexreplace(G834, ""_"", """")"),"")</f>
        <v/>
      </c>
      <c r="L8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4" s="125"/>
      <c r="N834" s="122"/>
      <c r="O834" s="125"/>
      <c r="P834" s="122" t="s">
        <v>2918</v>
      </c>
      <c r="Q834" s="221" t="s">
        <v>2919</v>
      </c>
      <c r="R834" s="223"/>
      <c r="S834" s="223"/>
      <c r="T834" s="125"/>
      <c r="U834" s="125"/>
      <c r="V834" s="125"/>
      <c r="W834" s="125"/>
      <c r="X834" s="125"/>
      <c r="Y834" s="125"/>
      <c r="Z834" s="125"/>
    </row>
    <row r="835">
      <c r="A835" s="329"/>
      <c r="B835" s="119" t="s">
        <v>2835</v>
      </c>
      <c r="C835" s="121" t="s">
        <v>2920</v>
      </c>
      <c r="D835" s="121" t="s">
        <v>2920</v>
      </c>
      <c r="E835" s="221"/>
      <c r="F835" s="123">
        <f t="shared" si="1"/>
        <v>2</v>
      </c>
      <c r="G835" s="121" t="s">
        <v>2921</v>
      </c>
      <c r="H835" s="12"/>
      <c r="I835" s="192" t="str">
        <f>IFERROR(__xludf.DUMMYFUNCTION("regexreplace(lower(C835), ""_"", """")"),"mrireader")</f>
        <v>mrireader</v>
      </c>
      <c r="J835" s="192" t="b">
        <f t="shared" si="53"/>
        <v>1</v>
      </c>
      <c r="K835" s="192" t="str">
        <f>IFERROR(__xludf.DUMMYFUNCTION("regexreplace(G835, ""_"", """")"),"mrireader")</f>
        <v>mrireader</v>
      </c>
      <c r="L8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""$1$2"")"),"mri_reader")</f>
        <v>mri_reader</v>
      </c>
      <c r="M835" s="125"/>
      <c r="N835" s="122"/>
      <c r="O835" s="125"/>
      <c r="P835" s="122" t="s">
        <v>2922</v>
      </c>
      <c r="Q835" s="221" t="s">
        <v>2923</v>
      </c>
      <c r="R835" s="223"/>
      <c r="S835" s="223"/>
      <c r="T835" s="125"/>
      <c r="U835" s="125"/>
      <c r="V835" s="125"/>
      <c r="W835" s="125"/>
      <c r="X835" s="125"/>
      <c r="Y835" s="125"/>
      <c r="Z835" s="125"/>
    </row>
    <row r="836">
      <c r="A836" s="329"/>
      <c r="B836" s="119" t="s">
        <v>2835</v>
      </c>
      <c r="C836" s="121"/>
      <c r="D836" s="121" t="s">
        <v>16</v>
      </c>
      <c r="E836" s="221" t="s">
        <v>2924</v>
      </c>
      <c r="F836" s="123">
        <f t="shared" si="1"/>
        <v>1</v>
      </c>
      <c r="G836" s="121" t="s">
        <v>851</v>
      </c>
      <c r="H836" s="12"/>
      <c r="I836" s="192" t="str">
        <f>IFERROR(__xludf.DUMMYFUNCTION("regexreplace(lower(C836), ""_"", """")"),"")</f>
        <v/>
      </c>
      <c r="J836" s="192" t="b">
        <f t="shared" si="53"/>
        <v>1</v>
      </c>
      <c r="K836" s="192" t="str">
        <f>IFERROR(__xludf.DUMMYFUNCTION("regexreplace(G836, ""_"", """")"),"")</f>
        <v/>
      </c>
      <c r="L8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6" s="125"/>
      <c r="N836" s="122"/>
      <c r="O836" s="125"/>
      <c r="P836" s="122"/>
      <c r="Q836" s="221" t="s">
        <v>2925</v>
      </c>
      <c r="R836" s="223"/>
      <c r="S836" s="223"/>
      <c r="T836" s="125"/>
      <c r="U836" s="125"/>
      <c r="V836" s="125"/>
      <c r="W836" s="125"/>
      <c r="X836" s="125"/>
      <c r="Y836" s="125"/>
      <c r="Z836" s="125"/>
    </row>
    <row r="837">
      <c r="A837" s="329"/>
      <c r="B837" s="119" t="s">
        <v>2835</v>
      </c>
      <c r="C837" s="121"/>
      <c r="D837" s="121" t="s">
        <v>16</v>
      </c>
      <c r="E837" s="221" t="s">
        <v>2926</v>
      </c>
      <c r="F837" s="123">
        <f t="shared" si="1"/>
        <v>1</v>
      </c>
      <c r="G837" s="121" t="s">
        <v>851</v>
      </c>
      <c r="H837" s="12"/>
      <c r="I837" s="192" t="str">
        <f>IFERROR(__xludf.DUMMYFUNCTION("regexreplace(lower(C837), ""_"", """")"),"")</f>
        <v/>
      </c>
      <c r="J837" s="192" t="b">
        <f t="shared" si="53"/>
        <v>1</v>
      </c>
      <c r="K837" s="192" t="str">
        <f>IFERROR(__xludf.DUMMYFUNCTION("regexreplace(G837, ""_"", """")"),"")</f>
        <v/>
      </c>
      <c r="L8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7" s="125"/>
      <c r="N837" s="122"/>
      <c r="O837" s="125"/>
      <c r="P837" s="122"/>
      <c r="Q837" s="221" t="s">
        <v>2927</v>
      </c>
      <c r="R837" s="223"/>
      <c r="S837" s="223"/>
      <c r="T837" s="125"/>
      <c r="U837" s="125"/>
      <c r="V837" s="125"/>
      <c r="W837" s="125"/>
      <c r="X837" s="125"/>
      <c r="Y837" s="125"/>
      <c r="Z837" s="125"/>
    </row>
    <row r="838">
      <c r="A838" s="329"/>
      <c r="B838" s="119" t="s">
        <v>2835</v>
      </c>
      <c r="C838" s="121"/>
      <c r="D838" s="121" t="s">
        <v>16</v>
      </c>
      <c r="E838" s="221" t="s">
        <v>2928</v>
      </c>
      <c r="F838" s="123">
        <f t="shared" si="1"/>
        <v>1</v>
      </c>
      <c r="G838" s="121" t="s">
        <v>851</v>
      </c>
      <c r="H838" s="12"/>
      <c r="I838" s="192" t="str">
        <f>IFERROR(__xludf.DUMMYFUNCTION("regexreplace(lower(C838), ""_"", """")"),"")</f>
        <v/>
      </c>
      <c r="J838" s="192" t="b">
        <f t="shared" si="53"/>
        <v>1</v>
      </c>
      <c r="K838" s="192" t="str">
        <f>IFERROR(__xludf.DUMMYFUNCTION("regexreplace(G838, ""_"", """")"),"")</f>
        <v/>
      </c>
      <c r="L8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""$1$2"")"),"")</f>
        <v/>
      </c>
      <c r="M838" s="125"/>
      <c r="N838" s="122"/>
      <c r="O838" s="125"/>
      <c r="P838" s="122"/>
      <c r="Q838" s="221" t="s">
        <v>2929</v>
      </c>
      <c r="R838" s="223"/>
      <c r="S838" s="223"/>
      <c r="T838" s="125"/>
      <c r="U838" s="125"/>
      <c r="V838" s="125"/>
      <c r="W838" s="125"/>
      <c r="X838" s="125"/>
      <c r="Y838" s="125"/>
      <c r="Z838" s="125"/>
    </row>
    <row r="839">
      <c r="A839" s="329"/>
      <c r="B839" s="119" t="s">
        <v>2835</v>
      </c>
      <c r="C839" s="121" t="s">
        <v>2930</v>
      </c>
      <c r="D839" s="121" t="s">
        <v>26</v>
      </c>
      <c r="E839" s="221" t="s">
        <v>2931</v>
      </c>
      <c r="F839" s="123">
        <f t="shared" si="1"/>
        <v>2</v>
      </c>
      <c r="G839" s="121" t="s">
        <v>2932</v>
      </c>
      <c r="H839" s="12"/>
      <c r="I839" s="192" t="str">
        <f>IFERROR(__xludf.DUMMYFUNCTION("regexreplace(lower(C839), ""_"", """")"),"mrireaddate")</f>
        <v>mrireaddate</v>
      </c>
      <c r="J839" s="192" t="b">
        <f t="shared" si="53"/>
        <v>1</v>
      </c>
      <c r="K839" s="192" t="str">
        <f>IFERROR(__xludf.DUMMYFUNCTION("regexreplace(G839, ""_"", """")"),"mrireaddate")</f>
        <v>mrireaddate</v>
      </c>
      <c r="L8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""$1$2"")"),"mri_read_date")</f>
        <v>mri_read_date</v>
      </c>
      <c r="M839" s="125"/>
      <c r="N839" s="122"/>
      <c r="O839" s="125"/>
      <c r="P839" s="122" t="s">
        <v>2933</v>
      </c>
      <c r="Q839" s="221" t="s">
        <v>2934</v>
      </c>
      <c r="R839" s="223"/>
      <c r="S839" s="223"/>
      <c r="T839" s="125"/>
      <c r="U839" s="125"/>
      <c r="V839" s="125"/>
      <c r="W839" s="125"/>
      <c r="X839" s="125"/>
      <c r="Y839" s="125"/>
      <c r="Z839" s="125"/>
    </row>
    <row r="840">
      <c r="A840" s="329"/>
      <c r="B840" s="119" t="s">
        <v>2835</v>
      </c>
      <c r="C840" s="121" t="s">
        <v>2856</v>
      </c>
      <c r="D840" s="121" t="s">
        <v>26</v>
      </c>
      <c r="E840" s="221" t="s">
        <v>2857</v>
      </c>
      <c r="F840" s="123">
        <f t="shared" si="1"/>
        <v>2</v>
      </c>
      <c r="G840" s="121" t="s">
        <v>2858</v>
      </c>
      <c r="H840" s="12"/>
      <c r="I840" s="192" t="str">
        <f>IFERROR(__xludf.DUMMYFUNCTION("regexreplace(lower(C840), ""_"", """")"),"mridate")</f>
        <v>mridate</v>
      </c>
      <c r="J840" s="192" t="b">
        <f t="shared" si="53"/>
        <v>1</v>
      </c>
      <c r="K840" s="192" t="str">
        <f>IFERROR(__xludf.DUMMYFUNCTION("regexreplace(G840, ""_"", """")"),"mridate")</f>
        <v>mridate</v>
      </c>
      <c r="L8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""$1$2"")"),"mri_date")</f>
        <v>mri_date</v>
      </c>
      <c r="M840" s="125"/>
      <c r="N840" s="221"/>
      <c r="O840" s="125"/>
      <c r="P840" s="221" t="s">
        <v>2935</v>
      </c>
      <c r="Q840" s="221" t="s">
        <v>2936</v>
      </c>
      <c r="R840" s="223"/>
      <c r="S840" s="223"/>
      <c r="T840" s="125"/>
      <c r="U840" s="125"/>
      <c r="V840" s="125"/>
      <c r="W840" s="125"/>
      <c r="X840" s="125"/>
      <c r="Y840" s="125"/>
      <c r="Z840" s="125"/>
    </row>
    <row r="841">
      <c r="A841" s="329"/>
      <c r="B841" s="119" t="s">
        <v>2835</v>
      </c>
      <c r="C841" s="121" t="s">
        <v>2937</v>
      </c>
      <c r="D841" s="121" t="s">
        <v>483</v>
      </c>
      <c r="E841" s="221" t="s">
        <v>2938</v>
      </c>
      <c r="F841" s="123">
        <f t="shared" si="1"/>
        <v>2</v>
      </c>
      <c r="G841" s="121" t="s">
        <v>7905</v>
      </c>
      <c r="H841" s="12"/>
      <c r="I841" s="192" t="str">
        <f>IFERROR(__xludf.DUMMYFUNCTION("regexreplace(lower(C841), ""_"", """")"),"mristrengtht")</f>
        <v>mristrengtht</v>
      </c>
      <c r="J841" s="192" t="b">
        <f t="shared" si="53"/>
        <v>0</v>
      </c>
      <c r="K841" s="192" t="str">
        <f>IFERROR(__xludf.DUMMYFUNCTION("regexreplace(G841, ""_"", """")"),"mristrength")</f>
        <v>mristrength</v>
      </c>
      <c r="L8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""$1$2"")"),"mri_strength__t")</f>
        <v>mri_strength__t</v>
      </c>
      <c r="M841" s="125"/>
      <c r="N841" s="122"/>
      <c r="O841" s="125"/>
      <c r="P841" s="122" t="s">
        <v>2940</v>
      </c>
      <c r="Q841" s="221" t="s">
        <v>2941</v>
      </c>
      <c r="R841" s="223"/>
      <c r="S841" s="223"/>
      <c r="T841" s="125"/>
      <c r="U841" s="125"/>
      <c r="V841" s="125"/>
      <c r="W841" s="125"/>
      <c r="X841" s="125"/>
      <c r="Y841" s="125"/>
      <c r="Z841" s="125"/>
    </row>
    <row r="842">
      <c r="A842" s="329"/>
      <c r="B842" s="119" t="s">
        <v>2835</v>
      </c>
      <c r="C842" s="121" t="s">
        <v>2942</v>
      </c>
      <c r="D842" s="121" t="s">
        <v>31</v>
      </c>
      <c r="E842" s="221"/>
      <c r="F842" s="123">
        <f t="shared" si="1"/>
        <v>1</v>
      </c>
      <c r="G842" s="121" t="s">
        <v>2943</v>
      </c>
      <c r="H842" s="12"/>
      <c r="I842" s="192" t="str">
        <f>IFERROR(__xludf.DUMMYFUNCTION("regexreplace(lower(C842), ""_"", """")"),"mristrengthc")</f>
        <v>mristrengthc</v>
      </c>
      <c r="J842" s="192" t="b">
        <f t="shared" si="53"/>
        <v>1</v>
      </c>
      <c r="K842" s="192" t="str">
        <f>IFERROR(__xludf.DUMMYFUNCTION("regexreplace(G842, ""_"", """")"),"mristrengthc")</f>
        <v>mristrengthc</v>
      </c>
      <c r="L8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""$1$2"")"),"mri_strength_c")</f>
        <v>mri_strength_c</v>
      </c>
      <c r="M842" s="125"/>
      <c r="N842" s="122"/>
      <c r="O842" s="125"/>
      <c r="P842" s="122" t="s">
        <v>2944</v>
      </c>
      <c r="Q842" s="221"/>
      <c r="R842" s="223"/>
      <c r="S842" s="223"/>
      <c r="T842" s="125"/>
      <c r="U842" s="125"/>
      <c r="V842" s="125"/>
      <c r="W842" s="125"/>
      <c r="X842" s="125"/>
      <c r="Y842" s="125"/>
      <c r="Z842" s="125"/>
    </row>
    <row r="843">
      <c r="A843" s="329"/>
      <c r="B843" s="119" t="s">
        <v>2835</v>
      </c>
      <c r="C843" s="121" t="s">
        <v>2945</v>
      </c>
      <c r="D843" s="121" t="s">
        <v>40</v>
      </c>
      <c r="E843" s="221" t="s">
        <v>2946</v>
      </c>
      <c r="F843" s="123">
        <f t="shared" si="1"/>
        <v>2</v>
      </c>
      <c r="G843" s="121" t="s">
        <v>2947</v>
      </c>
      <c r="H843" s="12"/>
      <c r="I843" s="192" t="str">
        <f>IFERROR(__xludf.DUMMYFUNCTION("regexreplace(lower(C843), ""_"", """")"),"mriadequatequality")</f>
        <v>mriadequatequality</v>
      </c>
      <c r="J843" s="192" t="b">
        <f t="shared" si="53"/>
        <v>1</v>
      </c>
      <c r="K843" s="192" t="str">
        <f>IFERROR(__xludf.DUMMYFUNCTION("regexreplace(G843, ""_"", """")"),"mriadequatequality")</f>
        <v>mriadequatequality</v>
      </c>
      <c r="L8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""$1$2"")"),"mri_adequate_quality")</f>
        <v>mri_adequate_quality</v>
      </c>
      <c r="M843" s="125"/>
      <c r="N843" s="221"/>
      <c r="O843" s="125"/>
      <c r="P843" s="221" t="s">
        <v>2948</v>
      </c>
      <c r="Q843" s="221" t="s">
        <v>2949</v>
      </c>
      <c r="R843" s="223"/>
      <c r="S843" s="223"/>
      <c r="T843" s="125"/>
      <c r="U843" s="125"/>
      <c r="V843" s="125"/>
      <c r="W843" s="125"/>
      <c r="X843" s="125"/>
      <c r="Y843" s="125"/>
      <c r="Z843" s="125"/>
    </row>
    <row r="844">
      <c r="A844" s="329"/>
      <c r="B844" s="119" t="s">
        <v>2835</v>
      </c>
      <c r="C844" s="121" t="s">
        <v>2950</v>
      </c>
      <c r="D844" s="121" t="s">
        <v>40</v>
      </c>
      <c r="E844" s="221"/>
      <c r="F844" s="123">
        <f t="shared" si="1"/>
        <v>2</v>
      </c>
      <c r="G844" s="121" t="s">
        <v>2951</v>
      </c>
      <c r="H844" s="12"/>
      <c r="I844" s="192" t="str">
        <f>IFERROR(__xludf.DUMMYFUNCTION("regexreplace(lower(C844), ""_"", """")"),"mriadequatequalityc")</f>
        <v>mriadequatequalityc</v>
      </c>
      <c r="J844" s="192" t="b">
        <f t="shared" si="53"/>
        <v>1</v>
      </c>
      <c r="K844" s="192" t="str">
        <f>IFERROR(__xludf.DUMMYFUNCTION("regexreplace(G844, ""_"", """")"),"mriadequatequalityc")</f>
        <v>mriadequatequalityc</v>
      </c>
      <c r="L8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""$1$2"")"),"mri_adequate_quality_c")</f>
        <v>mri_adequate_quality_c</v>
      </c>
      <c r="M844" s="125"/>
      <c r="N844" s="221"/>
      <c r="O844" s="125"/>
      <c r="P844" s="221" t="s">
        <v>2952</v>
      </c>
      <c r="Q844" s="221" t="s">
        <v>2953</v>
      </c>
      <c r="R844" s="223"/>
      <c r="S844" s="223"/>
      <c r="T844" s="125"/>
      <c r="U844" s="125"/>
      <c r="V844" s="125"/>
      <c r="W844" s="125"/>
      <c r="X844" s="125"/>
      <c r="Y844" s="125"/>
      <c r="Z844" s="125"/>
    </row>
    <row r="845">
      <c r="A845" s="329"/>
      <c r="B845" s="119" t="s">
        <v>2835</v>
      </c>
      <c r="C845" s="121" t="s">
        <v>2954</v>
      </c>
      <c r="D845" s="121" t="s">
        <v>40</v>
      </c>
      <c r="E845" s="221" t="s">
        <v>2955</v>
      </c>
      <c r="F845" s="123">
        <f t="shared" si="1"/>
        <v>2</v>
      </c>
      <c r="G845" s="121" t="s">
        <v>2956</v>
      </c>
      <c r="H845" s="12"/>
      <c r="I845" s="192" t="str">
        <f>IFERROR(__xludf.DUMMYFUNCTION("regexreplace(lower(C845), ""_"", """")"),"mrit1axial")</f>
        <v>mrit1axial</v>
      </c>
      <c r="J845" s="192" t="b">
        <f t="shared" si="53"/>
        <v>1</v>
      </c>
      <c r="K845" s="192" t="str">
        <f>IFERROR(__xludf.DUMMYFUNCTION("regexreplace(G845, ""_"", """")"),"mrit1axial")</f>
        <v>mrit1axial</v>
      </c>
      <c r="L8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""$1$2"")"),"mri_t1axial")</f>
        <v>mri_t1axial</v>
      </c>
      <c r="M845" s="125"/>
      <c r="N845" s="221"/>
      <c r="O845" s="125"/>
      <c r="P845" s="221" t="s">
        <v>2957</v>
      </c>
      <c r="Q845" s="221" t="s">
        <v>2958</v>
      </c>
      <c r="R845" s="223"/>
      <c r="S845" s="223"/>
      <c r="T845" s="125"/>
      <c r="U845" s="125"/>
      <c r="V845" s="125"/>
      <c r="W845" s="125"/>
      <c r="X845" s="125"/>
      <c r="Y845" s="125"/>
      <c r="Z845" s="125"/>
    </row>
    <row r="846">
      <c r="A846" s="329"/>
      <c r="B846" s="119" t="s">
        <v>2835</v>
      </c>
      <c r="C846" s="121" t="s">
        <v>2959</v>
      </c>
      <c r="D846" s="121" t="s">
        <v>40</v>
      </c>
      <c r="E846" s="221"/>
      <c r="F846" s="123">
        <f t="shared" si="1"/>
        <v>1</v>
      </c>
      <c r="G846" s="121" t="s">
        <v>2960</v>
      </c>
      <c r="H846" s="12"/>
      <c r="I846" s="192" t="str">
        <f>IFERROR(__xludf.DUMMYFUNCTION("regexreplace(lower(C846), ""_"", """")"),"mrit1axialc")</f>
        <v>mrit1axialc</v>
      </c>
      <c r="J846" s="192" t="b">
        <f t="shared" si="53"/>
        <v>1</v>
      </c>
      <c r="K846" s="192" t="str">
        <f>IFERROR(__xludf.DUMMYFUNCTION("regexreplace(G846, ""_"", """")"),"mrit1axialc")</f>
        <v>mrit1axialc</v>
      </c>
      <c r="L8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""$1$2"")"),"mri_t1axial_c")</f>
        <v>mri_t1axial_c</v>
      </c>
      <c r="M846" s="125"/>
      <c r="N846" s="221"/>
      <c r="O846" s="125"/>
      <c r="P846" s="221" t="s">
        <v>2961</v>
      </c>
      <c r="Q846" s="223"/>
      <c r="R846" s="223"/>
      <c r="S846" s="223"/>
      <c r="T846" s="125"/>
      <c r="U846" s="125"/>
      <c r="V846" s="125"/>
      <c r="W846" s="125"/>
      <c r="X846" s="125"/>
      <c r="Y846" s="125"/>
      <c r="Z846" s="125"/>
    </row>
    <row r="847">
      <c r="A847" s="329"/>
      <c r="B847" s="119" t="s">
        <v>2835</v>
      </c>
      <c r="C847" s="121" t="s">
        <v>2962</v>
      </c>
      <c r="D847" s="121" t="s">
        <v>40</v>
      </c>
      <c r="E847" s="221" t="s">
        <v>2963</v>
      </c>
      <c r="F847" s="123">
        <f t="shared" si="1"/>
        <v>2</v>
      </c>
      <c r="G847" s="121" t="s">
        <v>2964</v>
      </c>
      <c r="H847" s="12"/>
      <c r="I847" s="192" t="str">
        <f>IFERROR(__xludf.DUMMYFUNCTION("regexreplace(lower(C847), ""_"", """")"),"mrit1coronal")</f>
        <v>mrit1coronal</v>
      </c>
      <c r="J847" s="192" t="b">
        <f t="shared" si="53"/>
        <v>1</v>
      </c>
      <c r="K847" s="192" t="str">
        <f>IFERROR(__xludf.DUMMYFUNCTION("regexreplace(G847, ""_"", """")"),"mrit1coronal")</f>
        <v>mrit1coronal</v>
      </c>
      <c r="L8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""$1$2"")"),"mri_t1coronal")</f>
        <v>mri_t1coronal</v>
      </c>
      <c r="M847" s="125"/>
      <c r="N847" s="221"/>
      <c r="O847" s="125"/>
      <c r="P847" s="221" t="s">
        <v>2965</v>
      </c>
      <c r="Q847" s="221" t="s">
        <v>2966</v>
      </c>
      <c r="R847" s="223"/>
      <c r="S847" s="223"/>
      <c r="T847" s="125"/>
      <c r="U847" s="125"/>
      <c r="V847" s="125"/>
      <c r="W847" s="125"/>
      <c r="X847" s="125"/>
      <c r="Y847" s="125"/>
      <c r="Z847" s="125"/>
    </row>
    <row r="848">
      <c r="A848" s="329"/>
      <c r="B848" s="119" t="s">
        <v>2835</v>
      </c>
      <c r="C848" s="121" t="s">
        <v>2967</v>
      </c>
      <c r="D848" s="121" t="s">
        <v>40</v>
      </c>
      <c r="E848" s="221"/>
      <c r="F848" s="123">
        <f t="shared" si="1"/>
        <v>1</v>
      </c>
      <c r="G848" s="121" t="s">
        <v>2968</v>
      </c>
      <c r="H848" s="12"/>
      <c r="I848" s="192" t="str">
        <f>IFERROR(__xludf.DUMMYFUNCTION("regexreplace(lower(C848), ""_"", """")"),"mrit1coronalc")</f>
        <v>mrit1coronalc</v>
      </c>
      <c r="J848" s="192" t="b">
        <f t="shared" si="53"/>
        <v>1</v>
      </c>
      <c r="K848" s="192" t="str">
        <f>IFERROR(__xludf.DUMMYFUNCTION("regexreplace(G848, ""_"", """")"),"mrit1coronalc")</f>
        <v>mrit1coronalc</v>
      </c>
      <c r="L8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""$1$2"")"),"mri_t1coronal_c")</f>
        <v>mri_t1coronal_c</v>
      </c>
      <c r="M848" s="125"/>
      <c r="N848" s="221"/>
      <c r="O848" s="125"/>
      <c r="P848" s="221" t="s">
        <v>2969</v>
      </c>
      <c r="Q848" s="223"/>
      <c r="R848" s="223"/>
      <c r="S848" s="223"/>
      <c r="T848" s="125"/>
      <c r="U848" s="125"/>
      <c r="V848" s="125"/>
      <c r="W848" s="125"/>
      <c r="X848" s="125"/>
      <c r="Y848" s="125"/>
      <c r="Z848" s="125"/>
    </row>
    <row r="849">
      <c r="A849" s="329"/>
      <c r="B849" s="119" t="s">
        <v>2835</v>
      </c>
      <c r="C849" s="121" t="s">
        <v>2970</v>
      </c>
      <c r="D849" s="121" t="s">
        <v>40</v>
      </c>
      <c r="E849" s="221" t="s">
        <v>2971</v>
      </c>
      <c r="F849" s="123">
        <f t="shared" si="1"/>
        <v>2</v>
      </c>
      <c r="G849" s="121" t="s">
        <v>2972</v>
      </c>
      <c r="H849" s="12"/>
      <c r="I849" s="192" t="str">
        <f>IFERROR(__xludf.DUMMYFUNCTION("regexreplace(lower(C849), ""_"", """")"),"mrit1sagittal")</f>
        <v>mrit1sagittal</v>
      </c>
      <c r="J849" s="192" t="b">
        <f t="shared" si="53"/>
        <v>1</v>
      </c>
      <c r="K849" s="192" t="str">
        <f>IFERROR(__xludf.DUMMYFUNCTION("regexreplace(G849, ""_"", """")"),"mrit1sagittal")</f>
        <v>mrit1sagittal</v>
      </c>
      <c r="L8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""$1$2"")"),"mri_t1sagittal")</f>
        <v>mri_t1sagittal</v>
      </c>
      <c r="M849" s="125"/>
      <c r="N849" s="221"/>
      <c r="O849" s="125"/>
      <c r="P849" s="221" t="s">
        <v>2973</v>
      </c>
      <c r="Q849" s="221" t="s">
        <v>2974</v>
      </c>
      <c r="R849" s="223"/>
      <c r="S849" s="223"/>
      <c r="T849" s="125"/>
      <c r="U849" s="125"/>
      <c r="V849" s="125"/>
      <c r="W849" s="125"/>
      <c r="X849" s="125"/>
      <c r="Y849" s="125"/>
      <c r="Z849" s="125"/>
    </row>
    <row r="850">
      <c r="A850" s="329"/>
      <c r="B850" s="119" t="s">
        <v>2835</v>
      </c>
      <c r="C850" s="121" t="s">
        <v>2975</v>
      </c>
      <c r="D850" s="121" t="s">
        <v>40</v>
      </c>
      <c r="E850" s="221"/>
      <c r="F850" s="123">
        <f t="shared" si="1"/>
        <v>1</v>
      </c>
      <c r="G850" s="121" t="s">
        <v>2976</v>
      </c>
      <c r="H850" s="12"/>
      <c r="I850" s="192" t="str">
        <f>IFERROR(__xludf.DUMMYFUNCTION("regexreplace(lower(C850), ""_"", """")"),"mrit1sagittalc")</f>
        <v>mrit1sagittalc</v>
      </c>
      <c r="J850" s="192" t="b">
        <f t="shared" si="53"/>
        <v>1</v>
      </c>
      <c r="K850" s="192" t="str">
        <f>IFERROR(__xludf.DUMMYFUNCTION("regexreplace(G850, ""_"", """")"),"mrit1sagittalc")</f>
        <v>mrit1sagittalc</v>
      </c>
      <c r="L8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""$1$2"")"),"mri_t1sagittal_c")</f>
        <v>mri_t1sagittal_c</v>
      </c>
      <c r="M850" s="125"/>
      <c r="N850" s="221"/>
      <c r="O850" s="125"/>
      <c r="P850" s="221" t="s">
        <v>2977</v>
      </c>
      <c r="Q850" s="223"/>
      <c r="R850" s="223"/>
      <c r="S850" s="223"/>
      <c r="T850" s="125"/>
      <c r="U850" s="125"/>
      <c r="V850" s="125"/>
      <c r="W850" s="125"/>
      <c r="X850" s="125"/>
      <c r="Y850" s="125"/>
      <c r="Z850" s="125"/>
    </row>
    <row r="851">
      <c r="A851" s="329"/>
      <c r="B851" s="119" t="s">
        <v>2835</v>
      </c>
      <c r="C851" s="121" t="s">
        <v>2978</v>
      </c>
      <c r="D851" s="121" t="s">
        <v>40</v>
      </c>
      <c r="E851" s="221" t="s">
        <v>2979</v>
      </c>
      <c r="F851" s="123">
        <f t="shared" si="1"/>
        <v>2</v>
      </c>
      <c r="G851" s="121" t="s">
        <v>2980</v>
      </c>
      <c r="H851" s="12"/>
      <c r="I851" s="192" t="str">
        <f>IFERROR(__xludf.DUMMYFUNCTION("regexreplace(lower(C851), ""_"", """")"),"mrit1")</f>
        <v>mrit1</v>
      </c>
      <c r="J851" s="192" t="b">
        <f t="shared" si="53"/>
        <v>1</v>
      </c>
      <c r="K851" s="192" t="str">
        <f>IFERROR(__xludf.DUMMYFUNCTION("regexreplace(G851, ""_"", """")"),"mrit1")</f>
        <v>mrit1</v>
      </c>
      <c r="L8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""$1$2"")"),"mri_t1")</f>
        <v>mri_t1</v>
      </c>
      <c r="M851" s="125"/>
      <c r="N851" s="221"/>
      <c r="O851" s="122" t="s">
        <v>7906</v>
      </c>
      <c r="P851" s="221"/>
      <c r="Q851" s="221" t="s">
        <v>2981</v>
      </c>
      <c r="R851" s="223"/>
      <c r="S851" s="223"/>
      <c r="T851" s="125"/>
      <c r="U851" s="125"/>
      <c r="V851" s="125"/>
      <c r="W851" s="125"/>
      <c r="X851" s="125"/>
      <c r="Y851" s="125"/>
      <c r="Z851" s="125"/>
    </row>
    <row r="852">
      <c r="A852" s="329"/>
      <c r="B852" s="119" t="s">
        <v>2835</v>
      </c>
      <c r="C852" s="121" t="s">
        <v>7907</v>
      </c>
      <c r="D852" s="121" t="s">
        <v>40</v>
      </c>
      <c r="E852" s="221"/>
      <c r="F852" s="123">
        <f t="shared" si="1"/>
        <v>1</v>
      </c>
      <c r="G852" s="121"/>
      <c r="H852" s="12"/>
      <c r="I852" s="192"/>
      <c r="J852" s="192"/>
      <c r="K852" s="192"/>
      <c r="L852" s="121"/>
      <c r="M852" s="125"/>
      <c r="N852" s="221"/>
      <c r="O852" s="122" t="s">
        <v>7908</v>
      </c>
      <c r="P852" s="221"/>
      <c r="Q852" s="221"/>
      <c r="R852" s="223"/>
      <c r="S852" s="223"/>
      <c r="T852" s="125"/>
      <c r="U852" s="125"/>
      <c r="V852" s="125"/>
      <c r="W852" s="125"/>
      <c r="X852" s="125"/>
      <c r="Y852" s="125"/>
      <c r="Z852" s="125"/>
    </row>
    <row r="853">
      <c r="A853" s="329"/>
      <c r="B853" s="119" t="s">
        <v>2835</v>
      </c>
      <c r="C853" s="121" t="s">
        <v>7909</v>
      </c>
      <c r="D853" s="121" t="s">
        <v>40</v>
      </c>
      <c r="E853" s="221"/>
      <c r="F853" s="123">
        <f t="shared" si="1"/>
        <v>1</v>
      </c>
      <c r="G853" s="121"/>
      <c r="H853" s="12"/>
      <c r="I853" s="192"/>
      <c r="J853" s="192"/>
      <c r="K853" s="192"/>
      <c r="L853" s="121"/>
      <c r="M853" s="125"/>
      <c r="N853" s="221"/>
      <c r="O853" s="122" t="s">
        <v>7910</v>
      </c>
      <c r="P853" s="221"/>
      <c r="Q853" s="221"/>
      <c r="R853" s="223"/>
      <c r="S853" s="223"/>
      <c r="T853" s="125"/>
      <c r="U853" s="125"/>
      <c r="V853" s="125"/>
      <c r="W853" s="125"/>
      <c r="X853" s="125"/>
      <c r="Y853" s="125"/>
      <c r="Z853" s="125"/>
    </row>
    <row r="854">
      <c r="A854" s="329"/>
      <c r="B854" s="119" t="s">
        <v>2835</v>
      </c>
      <c r="C854" s="121" t="s">
        <v>7911</v>
      </c>
      <c r="D854" s="121" t="s">
        <v>40</v>
      </c>
      <c r="E854" s="221"/>
      <c r="F854" s="123">
        <f t="shared" si="1"/>
        <v>1</v>
      </c>
      <c r="G854" s="121"/>
      <c r="H854" s="12"/>
      <c r="I854" s="192"/>
      <c r="J854" s="192"/>
      <c r="K854" s="192"/>
      <c r="L854" s="121"/>
      <c r="M854" s="125"/>
      <c r="N854" s="221"/>
      <c r="O854" s="122" t="s">
        <v>7912</v>
      </c>
      <c r="P854" s="221"/>
      <c r="Q854" s="221"/>
      <c r="R854" s="223"/>
      <c r="S854" s="223"/>
      <c r="T854" s="125"/>
      <c r="U854" s="125"/>
      <c r="V854" s="125"/>
      <c r="W854" s="125"/>
      <c r="X854" s="125"/>
      <c r="Y854" s="125"/>
      <c r="Z854" s="125"/>
    </row>
    <row r="855">
      <c r="A855" s="329"/>
      <c r="B855" s="119" t="s">
        <v>2835</v>
      </c>
      <c r="C855" s="121" t="s">
        <v>7913</v>
      </c>
      <c r="D855" s="121" t="s">
        <v>40</v>
      </c>
      <c r="E855" s="221"/>
      <c r="F855" s="123">
        <f t="shared" si="1"/>
        <v>1</v>
      </c>
      <c r="G855" s="121"/>
      <c r="H855" s="12"/>
      <c r="I855" s="192"/>
      <c r="J855" s="192"/>
      <c r="K855" s="192"/>
      <c r="L855" s="121"/>
      <c r="M855" s="125"/>
      <c r="N855" s="221"/>
      <c r="O855" s="122" t="s">
        <v>7914</v>
      </c>
      <c r="P855" s="221"/>
      <c r="Q855" s="221"/>
      <c r="R855" s="223"/>
      <c r="S855" s="223"/>
      <c r="T855" s="125"/>
      <c r="U855" s="125"/>
      <c r="V855" s="125"/>
      <c r="W855" s="125"/>
      <c r="X855" s="125"/>
      <c r="Y855" s="125"/>
      <c r="Z855" s="125"/>
    </row>
    <row r="856">
      <c r="A856" s="329"/>
      <c r="B856" s="119" t="s">
        <v>2835</v>
      </c>
      <c r="C856" s="121" t="s">
        <v>7915</v>
      </c>
      <c r="D856" s="121" t="s">
        <v>40</v>
      </c>
      <c r="E856" s="221"/>
      <c r="F856" s="123">
        <f t="shared" si="1"/>
        <v>1</v>
      </c>
      <c r="G856" s="121"/>
      <c r="H856" s="12"/>
      <c r="I856" s="192"/>
      <c r="J856" s="192"/>
      <c r="K856" s="192"/>
      <c r="L856" s="121"/>
      <c r="M856" s="125"/>
      <c r="N856" s="221"/>
      <c r="O856" s="122" t="s">
        <v>7916</v>
      </c>
      <c r="P856" s="221"/>
      <c r="Q856" s="221"/>
      <c r="R856" s="223"/>
      <c r="S856" s="223"/>
      <c r="T856" s="125"/>
      <c r="U856" s="125"/>
      <c r="V856" s="125"/>
      <c r="W856" s="125"/>
      <c r="X856" s="125"/>
      <c r="Y856" s="125"/>
      <c r="Z856" s="125"/>
    </row>
    <row r="857">
      <c r="A857" s="329"/>
      <c r="B857" s="119" t="s">
        <v>2835</v>
      </c>
      <c r="C857" s="121" t="s">
        <v>7917</v>
      </c>
      <c r="D857" s="121" t="s">
        <v>40</v>
      </c>
      <c r="E857" s="221"/>
      <c r="F857" s="123">
        <f t="shared" si="1"/>
        <v>1</v>
      </c>
      <c r="G857" s="121"/>
      <c r="H857" s="12"/>
      <c r="I857" s="192"/>
      <c r="J857" s="192"/>
      <c r="K857" s="192"/>
      <c r="L857" s="121"/>
      <c r="M857" s="125"/>
      <c r="N857" s="221"/>
      <c r="O857" s="122" t="s">
        <v>7918</v>
      </c>
      <c r="P857" s="221"/>
      <c r="Q857" s="221"/>
      <c r="R857" s="223"/>
      <c r="S857" s="223"/>
      <c r="T857" s="125"/>
      <c r="U857" s="125"/>
      <c r="V857" s="125"/>
      <c r="W857" s="125"/>
      <c r="X857" s="125"/>
      <c r="Y857" s="125"/>
      <c r="Z857" s="125"/>
    </row>
    <row r="858">
      <c r="A858" s="329"/>
      <c r="B858" s="119" t="s">
        <v>2835</v>
      </c>
      <c r="C858" s="121" t="s">
        <v>7919</v>
      </c>
      <c r="D858" s="121" t="s">
        <v>40</v>
      </c>
      <c r="E858" s="221"/>
      <c r="F858" s="123">
        <f t="shared" si="1"/>
        <v>1</v>
      </c>
      <c r="G858" s="121"/>
      <c r="H858" s="12"/>
      <c r="I858" s="192"/>
      <c r="J858" s="192"/>
      <c r="K858" s="192"/>
      <c r="L858" s="121"/>
      <c r="M858" s="125"/>
      <c r="N858" s="221"/>
      <c r="O858" s="122" t="s">
        <v>7920</v>
      </c>
      <c r="P858" s="221"/>
      <c r="Q858" s="221"/>
      <c r="R858" s="223"/>
      <c r="S858" s="223"/>
      <c r="T858" s="125"/>
      <c r="U858" s="125"/>
      <c r="V858" s="125"/>
      <c r="W858" s="125"/>
      <c r="X858" s="125"/>
      <c r="Y858" s="125"/>
      <c r="Z858" s="125"/>
    </row>
    <row r="859">
      <c r="A859" s="329"/>
      <c r="B859" s="119" t="s">
        <v>2835</v>
      </c>
      <c r="C859" s="121" t="s">
        <v>7921</v>
      </c>
      <c r="D859" s="121" t="s">
        <v>40</v>
      </c>
      <c r="E859" s="221"/>
      <c r="F859" s="123">
        <f t="shared" si="1"/>
        <v>1</v>
      </c>
      <c r="G859" s="121"/>
      <c r="H859" s="12"/>
      <c r="I859" s="192"/>
      <c r="J859" s="192"/>
      <c r="K859" s="192"/>
      <c r="L859" s="121"/>
      <c r="M859" s="125"/>
      <c r="N859" s="221"/>
      <c r="O859" s="122" t="s">
        <v>7922</v>
      </c>
      <c r="P859" s="221"/>
      <c r="Q859" s="221"/>
      <c r="R859" s="223"/>
      <c r="S859" s="223"/>
      <c r="T859" s="125"/>
      <c r="U859" s="125"/>
      <c r="V859" s="125"/>
      <c r="W859" s="125"/>
      <c r="X859" s="125"/>
      <c r="Y859" s="125"/>
      <c r="Z859" s="125"/>
    </row>
    <row r="860">
      <c r="A860" s="329"/>
      <c r="B860" s="119" t="s">
        <v>2835</v>
      </c>
      <c r="C860" s="121" t="s">
        <v>7923</v>
      </c>
      <c r="D860" s="121" t="s">
        <v>40</v>
      </c>
      <c r="E860" s="221"/>
      <c r="F860" s="123">
        <f t="shared" si="1"/>
        <v>1</v>
      </c>
      <c r="G860" s="121"/>
      <c r="H860" s="12"/>
      <c r="I860" s="192"/>
      <c r="J860" s="192"/>
      <c r="K860" s="192"/>
      <c r="L860" s="121"/>
      <c r="M860" s="125"/>
      <c r="N860" s="221"/>
      <c r="O860" s="122" t="s">
        <v>7924</v>
      </c>
      <c r="P860" s="221"/>
      <c r="Q860" s="221"/>
      <c r="R860" s="223"/>
      <c r="S860" s="223"/>
      <c r="T860" s="125"/>
      <c r="U860" s="125"/>
      <c r="V860" s="125"/>
      <c r="W860" s="125"/>
      <c r="X860" s="125"/>
      <c r="Y860" s="125"/>
      <c r="Z860" s="125"/>
    </row>
    <row r="861">
      <c r="A861" s="329"/>
      <c r="B861" s="119" t="s">
        <v>2835</v>
      </c>
      <c r="C861" s="121" t="s">
        <v>7925</v>
      </c>
      <c r="D861" s="121" t="s">
        <v>16</v>
      </c>
      <c r="E861" s="221"/>
      <c r="F861" s="123">
        <f t="shared" si="1"/>
        <v>1</v>
      </c>
      <c r="G861" s="121"/>
      <c r="H861" s="12"/>
      <c r="I861" s="192"/>
      <c r="J861" s="192"/>
      <c r="K861" s="192"/>
      <c r="L861" s="121"/>
      <c r="M861" s="125"/>
      <c r="N861" s="221"/>
      <c r="O861" s="122" t="s">
        <v>7926</v>
      </c>
      <c r="P861" s="221"/>
      <c r="Q861" s="221"/>
      <c r="R861" s="223"/>
      <c r="S861" s="223"/>
      <c r="T861" s="125"/>
      <c r="U861" s="125"/>
      <c r="V861" s="125"/>
      <c r="W861" s="125"/>
      <c r="X861" s="125"/>
      <c r="Y861" s="125"/>
      <c r="Z861" s="125"/>
    </row>
    <row r="862">
      <c r="A862" s="329"/>
      <c r="B862" s="119" t="s">
        <v>2835</v>
      </c>
      <c r="C862" s="121" t="s">
        <v>2982</v>
      </c>
      <c r="D862" s="121" t="s">
        <v>40</v>
      </c>
      <c r="E862" s="221" t="s">
        <v>2983</v>
      </c>
      <c r="F862" s="123">
        <f t="shared" si="1"/>
        <v>2</v>
      </c>
      <c r="G862" s="121" t="s">
        <v>2984</v>
      </c>
      <c r="H862" s="12"/>
      <c r="I862" s="192" t="str">
        <f>IFERROR(__xludf.DUMMYFUNCTION("regexreplace(lower(C862), ""_"", """")"),"mrit2axial")</f>
        <v>mrit2axial</v>
      </c>
      <c r="J862" s="192" t="b">
        <f t="shared" ref="J862:J868" si="54">exact(I862, K862)</f>
        <v>1</v>
      </c>
      <c r="K862" s="192" t="str">
        <f>IFERROR(__xludf.DUMMYFUNCTION("regexreplace(G862, ""_"", """")"),"mrit2axial")</f>
        <v>mrit2axial</v>
      </c>
      <c r="L8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""$1$2"")"),"mri_t2axial")</f>
        <v>mri_t2axial</v>
      </c>
      <c r="M862" s="125"/>
      <c r="N862" s="221"/>
      <c r="O862" s="125"/>
      <c r="P862" s="221" t="s">
        <v>2985</v>
      </c>
      <c r="Q862" s="221" t="s">
        <v>2986</v>
      </c>
      <c r="R862" s="223"/>
      <c r="S862" s="223"/>
      <c r="T862" s="125"/>
      <c r="U862" s="125"/>
      <c r="V862" s="125"/>
      <c r="W862" s="125"/>
      <c r="X862" s="125"/>
      <c r="Y862" s="125"/>
      <c r="Z862" s="125"/>
    </row>
    <row r="863">
      <c r="A863" s="329"/>
      <c r="B863" s="119" t="s">
        <v>2835</v>
      </c>
      <c r="C863" s="121" t="s">
        <v>2987</v>
      </c>
      <c r="D863" s="121" t="s">
        <v>40</v>
      </c>
      <c r="E863" s="221"/>
      <c r="F863" s="123">
        <f t="shared" si="1"/>
        <v>1</v>
      </c>
      <c r="G863" s="121" t="s">
        <v>2988</v>
      </c>
      <c r="H863" s="12"/>
      <c r="I863" s="192" t="str">
        <f>IFERROR(__xludf.DUMMYFUNCTION("regexreplace(lower(C863), ""_"", """")"),"mrit2axialc")</f>
        <v>mrit2axialc</v>
      </c>
      <c r="J863" s="192" t="b">
        <f t="shared" si="54"/>
        <v>1</v>
      </c>
      <c r="K863" s="192" t="str">
        <f>IFERROR(__xludf.DUMMYFUNCTION("regexreplace(G863, ""_"", """")"),"mrit2axialc")</f>
        <v>mrit2axialc</v>
      </c>
      <c r="L8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""$1$2"")"),"mri_t2axial_c")</f>
        <v>mri_t2axial_c</v>
      </c>
      <c r="M863" s="125"/>
      <c r="N863" s="221"/>
      <c r="O863" s="125"/>
      <c r="P863" s="221" t="s">
        <v>2989</v>
      </c>
      <c r="Q863" s="223"/>
      <c r="R863" s="223"/>
      <c r="S863" s="223"/>
      <c r="T863" s="125"/>
      <c r="U863" s="125"/>
      <c r="V863" s="125"/>
      <c r="W863" s="125"/>
      <c r="X863" s="125"/>
      <c r="Y863" s="125"/>
      <c r="Z863" s="125"/>
    </row>
    <row r="864">
      <c r="A864" s="329"/>
      <c r="B864" s="119" t="s">
        <v>2835</v>
      </c>
      <c r="C864" s="121" t="s">
        <v>2990</v>
      </c>
      <c r="D864" s="121" t="s">
        <v>40</v>
      </c>
      <c r="E864" s="221" t="s">
        <v>2991</v>
      </c>
      <c r="F864" s="123">
        <f t="shared" si="1"/>
        <v>2</v>
      </c>
      <c r="G864" s="121" t="s">
        <v>2992</v>
      </c>
      <c r="H864" s="12"/>
      <c r="I864" s="192" t="str">
        <f>IFERROR(__xludf.DUMMYFUNCTION("regexreplace(lower(C864), ""_"", """")"),"mrit2coronal")</f>
        <v>mrit2coronal</v>
      </c>
      <c r="J864" s="192" t="b">
        <f t="shared" si="54"/>
        <v>1</v>
      </c>
      <c r="K864" s="192" t="str">
        <f>IFERROR(__xludf.DUMMYFUNCTION("regexreplace(G864, ""_"", """")"),"mrit2coronal")</f>
        <v>mrit2coronal</v>
      </c>
      <c r="L8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""$1$2"")"),"mri_t2coronal")</f>
        <v>mri_t2coronal</v>
      </c>
      <c r="M864" s="125"/>
      <c r="N864" s="221"/>
      <c r="O864" s="125"/>
      <c r="P864" s="221" t="s">
        <v>2993</v>
      </c>
      <c r="Q864" s="221" t="s">
        <v>2994</v>
      </c>
      <c r="R864" s="223"/>
      <c r="S864" s="223"/>
      <c r="T864" s="125"/>
      <c r="U864" s="125"/>
      <c r="V864" s="125"/>
      <c r="W864" s="125"/>
      <c r="X864" s="125"/>
      <c r="Y864" s="125"/>
      <c r="Z864" s="125"/>
    </row>
    <row r="865">
      <c r="A865" s="329"/>
      <c r="B865" s="119" t="s">
        <v>2835</v>
      </c>
      <c r="C865" s="121" t="s">
        <v>2995</v>
      </c>
      <c r="D865" s="121" t="s">
        <v>40</v>
      </c>
      <c r="E865" s="221"/>
      <c r="F865" s="123">
        <f t="shared" si="1"/>
        <v>1</v>
      </c>
      <c r="G865" s="121" t="s">
        <v>2996</v>
      </c>
      <c r="H865" s="12"/>
      <c r="I865" s="192" t="str">
        <f>IFERROR(__xludf.DUMMYFUNCTION("regexreplace(lower(C865), ""_"", """")"),"mrit2coronalc")</f>
        <v>mrit2coronalc</v>
      </c>
      <c r="J865" s="192" t="b">
        <f t="shared" si="54"/>
        <v>1</v>
      </c>
      <c r="K865" s="192" t="str">
        <f>IFERROR(__xludf.DUMMYFUNCTION("regexreplace(G865, ""_"", """")"),"mrit2coronalc")</f>
        <v>mrit2coronalc</v>
      </c>
      <c r="L8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""$1$2"")"),"mri_t2coronal_c")</f>
        <v>mri_t2coronal_c</v>
      </c>
      <c r="M865" s="125"/>
      <c r="N865" s="221"/>
      <c r="O865" s="125"/>
      <c r="P865" s="221" t="s">
        <v>2997</v>
      </c>
      <c r="Q865" s="223"/>
      <c r="R865" s="223"/>
      <c r="S865" s="223"/>
      <c r="T865" s="125"/>
      <c r="U865" s="125"/>
      <c r="V865" s="125"/>
      <c r="W865" s="125"/>
      <c r="X865" s="125"/>
      <c r="Y865" s="125"/>
      <c r="Z865" s="125"/>
    </row>
    <row r="866">
      <c r="A866" s="329"/>
      <c r="B866" s="119" t="s">
        <v>2835</v>
      </c>
      <c r="C866" s="121" t="s">
        <v>2998</v>
      </c>
      <c r="D866" s="121" t="s">
        <v>40</v>
      </c>
      <c r="E866" s="221" t="s">
        <v>2999</v>
      </c>
      <c r="F866" s="123">
        <f t="shared" si="1"/>
        <v>2</v>
      </c>
      <c r="G866" s="121" t="s">
        <v>3000</v>
      </c>
      <c r="H866" s="12"/>
      <c r="I866" s="192" t="str">
        <f>IFERROR(__xludf.DUMMYFUNCTION("regexreplace(lower(C866), ""_"", """")"),"mrit2sagittal")</f>
        <v>mrit2sagittal</v>
      </c>
      <c r="J866" s="192" t="b">
        <f t="shared" si="54"/>
        <v>1</v>
      </c>
      <c r="K866" s="192" t="str">
        <f>IFERROR(__xludf.DUMMYFUNCTION("regexreplace(G866, ""_"", """")"),"mrit2sagittal")</f>
        <v>mrit2sagittal</v>
      </c>
      <c r="L8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""$1$2"")"),"mri_t2sagittal")</f>
        <v>mri_t2sagittal</v>
      </c>
      <c r="M866" s="125"/>
      <c r="N866" s="221"/>
      <c r="O866" s="125"/>
      <c r="P866" s="221" t="s">
        <v>3001</v>
      </c>
      <c r="Q866" s="221" t="s">
        <v>3002</v>
      </c>
      <c r="R866" s="223"/>
      <c r="S866" s="223"/>
      <c r="T866" s="221"/>
      <c r="U866" s="125"/>
      <c r="V866" s="125"/>
      <c r="W866" s="125"/>
      <c r="X866" s="125"/>
      <c r="Y866" s="125"/>
      <c r="Z866" s="125"/>
    </row>
    <row r="867">
      <c r="A867" s="329"/>
      <c r="B867" s="119" t="s">
        <v>2835</v>
      </c>
      <c r="C867" s="121" t="s">
        <v>3003</v>
      </c>
      <c r="D867" s="121" t="s">
        <v>40</v>
      </c>
      <c r="E867" s="221"/>
      <c r="F867" s="123">
        <f t="shared" si="1"/>
        <v>1</v>
      </c>
      <c r="G867" s="121" t="s">
        <v>3004</v>
      </c>
      <c r="H867" s="12"/>
      <c r="I867" s="192" t="str">
        <f>IFERROR(__xludf.DUMMYFUNCTION("regexreplace(lower(C867), ""_"", """")"),"mrit2sagittalc")</f>
        <v>mrit2sagittalc</v>
      </c>
      <c r="J867" s="192" t="b">
        <f t="shared" si="54"/>
        <v>1</v>
      </c>
      <c r="K867" s="192" t="str">
        <f>IFERROR(__xludf.DUMMYFUNCTION("regexreplace(G867, ""_"", """")"),"mrit2sagittalc")</f>
        <v>mrit2sagittalc</v>
      </c>
      <c r="L8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""$1$2"")"),"mri_t2sagittal_c")</f>
        <v>mri_t2sagittal_c</v>
      </c>
      <c r="M867" s="125"/>
      <c r="N867" s="221"/>
      <c r="O867" s="125"/>
      <c r="P867" s="221" t="s">
        <v>3005</v>
      </c>
      <c r="Q867" s="223"/>
      <c r="R867" s="223"/>
      <c r="S867" s="223"/>
      <c r="T867" s="221"/>
      <c r="U867" s="125"/>
      <c r="V867" s="125"/>
      <c r="W867" s="125"/>
      <c r="X867" s="125"/>
      <c r="Y867" s="125"/>
      <c r="Z867" s="125"/>
    </row>
    <row r="868">
      <c r="A868" s="329"/>
      <c r="B868" s="119" t="s">
        <v>2835</v>
      </c>
      <c r="C868" s="121" t="s">
        <v>3006</v>
      </c>
      <c r="D868" s="121" t="s">
        <v>40</v>
      </c>
      <c r="E868" s="221" t="s">
        <v>3007</v>
      </c>
      <c r="F868" s="123">
        <f t="shared" si="1"/>
        <v>2</v>
      </c>
      <c r="G868" s="121" t="s">
        <v>3008</v>
      </c>
      <c r="H868" s="12"/>
      <c r="I868" s="192" t="str">
        <f>IFERROR(__xludf.DUMMYFUNCTION("regexreplace(lower(C868), ""_"", """")"),"mrit2")</f>
        <v>mrit2</v>
      </c>
      <c r="J868" s="192" t="b">
        <f t="shared" si="54"/>
        <v>1</v>
      </c>
      <c r="K868" s="192" t="str">
        <f>IFERROR(__xludf.DUMMYFUNCTION("regexreplace(G868, ""_"", """")"),"mrit2")</f>
        <v>mrit2</v>
      </c>
      <c r="L8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""$1$2"")"),"mri_t2")</f>
        <v>mri_t2</v>
      </c>
      <c r="M868" s="125"/>
      <c r="N868" s="221"/>
      <c r="O868" s="122" t="s">
        <v>7927</v>
      </c>
      <c r="P868" s="221"/>
      <c r="Q868" s="221" t="s">
        <v>3009</v>
      </c>
      <c r="R868" s="223"/>
      <c r="S868" s="223"/>
      <c r="T868" s="221"/>
      <c r="U868" s="125"/>
      <c r="V868" s="125"/>
      <c r="W868" s="125"/>
      <c r="X868" s="125"/>
      <c r="Y868" s="125"/>
      <c r="Z868" s="125"/>
    </row>
    <row r="869">
      <c r="A869" s="329"/>
      <c r="B869" s="119" t="s">
        <v>2835</v>
      </c>
      <c r="C869" s="121" t="s">
        <v>7928</v>
      </c>
      <c r="D869" s="121" t="s">
        <v>40</v>
      </c>
      <c r="E869" s="221" t="s">
        <v>7929</v>
      </c>
      <c r="F869" s="123">
        <f t="shared" si="1"/>
        <v>1</v>
      </c>
      <c r="G869" s="121"/>
      <c r="H869" s="12"/>
      <c r="I869" s="192"/>
      <c r="J869" s="192"/>
      <c r="K869" s="192"/>
      <c r="L869" s="121"/>
      <c r="M869" s="125"/>
      <c r="N869" s="221"/>
      <c r="O869" s="122" t="s">
        <v>7930</v>
      </c>
      <c r="P869" s="221"/>
      <c r="Q869" s="221"/>
      <c r="R869" s="223"/>
      <c r="S869" s="223"/>
      <c r="T869" s="221"/>
      <c r="U869" s="125"/>
      <c r="V869" s="125"/>
      <c r="W869" s="125"/>
      <c r="X869" s="125"/>
      <c r="Y869" s="125"/>
      <c r="Z869" s="125"/>
    </row>
    <row r="870">
      <c r="A870" s="329"/>
      <c r="B870" s="119" t="s">
        <v>2835</v>
      </c>
      <c r="C870" s="121" t="s">
        <v>7931</v>
      </c>
      <c r="D870" s="121" t="s">
        <v>40</v>
      </c>
      <c r="E870" s="221"/>
      <c r="F870" s="123">
        <f t="shared" si="1"/>
        <v>1</v>
      </c>
      <c r="G870" s="121"/>
      <c r="H870" s="12"/>
      <c r="I870" s="192"/>
      <c r="J870" s="192"/>
      <c r="K870" s="192"/>
      <c r="L870" s="121"/>
      <c r="M870" s="125"/>
      <c r="N870" s="221"/>
      <c r="O870" s="122" t="s">
        <v>7932</v>
      </c>
      <c r="P870" s="221"/>
      <c r="Q870" s="221"/>
      <c r="R870" s="223"/>
      <c r="S870" s="223"/>
      <c r="T870" s="221"/>
      <c r="U870" s="125"/>
      <c r="V870" s="125"/>
      <c r="W870" s="125"/>
      <c r="X870" s="125"/>
      <c r="Y870" s="125"/>
      <c r="Z870" s="125"/>
    </row>
    <row r="871">
      <c r="A871" s="329"/>
      <c r="B871" s="119" t="s">
        <v>2835</v>
      </c>
      <c r="C871" s="121" t="s">
        <v>7933</v>
      </c>
      <c r="D871" s="121" t="s">
        <v>40</v>
      </c>
      <c r="E871" s="221"/>
      <c r="F871" s="123">
        <f t="shared" si="1"/>
        <v>1</v>
      </c>
      <c r="G871" s="121"/>
      <c r="H871" s="12"/>
      <c r="I871" s="192"/>
      <c r="J871" s="192"/>
      <c r="K871" s="192"/>
      <c r="L871" s="121"/>
      <c r="M871" s="125"/>
      <c r="N871" s="221"/>
      <c r="O871" s="122" t="s">
        <v>7934</v>
      </c>
      <c r="P871" s="221"/>
      <c r="Q871" s="221"/>
      <c r="R871" s="223"/>
      <c r="S871" s="223"/>
      <c r="T871" s="221"/>
      <c r="U871" s="125"/>
      <c r="V871" s="125"/>
      <c r="W871" s="125"/>
      <c r="X871" s="125"/>
      <c r="Y871" s="125"/>
      <c r="Z871" s="125"/>
    </row>
    <row r="872">
      <c r="A872" s="329"/>
      <c r="B872" s="119" t="s">
        <v>2835</v>
      </c>
      <c r="C872" s="121" t="s">
        <v>7935</v>
      </c>
      <c r="D872" s="121" t="s">
        <v>40</v>
      </c>
      <c r="E872" s="221"/>
      <c r="F872" s="123">
        <f t="shared" si="1"/>
        <v>1</v>
      </c>
      <c r="G872" s="121"/>
      <c r="H872" s="12"/>
      <c r="I872" s="192"/>
      <c r="J872" s="192"/>
      <c r="K872" s="192"/>
      <c r="L872" s="121"/>
      <c r="M872" s="125"/>
      <c r="N872" s="221"/>
      <c r="O872" s="122" t="s">
        <v>7936</v>
      </c>
      <c r="P872" s="221"/>
      <c r="Q872" s="221"/>
      <c r="R872" s="223"/>
      <c r="S872" s="223"/>
      <c r="T872" s="221"/>
      <c r="U872" s="125"/>
      <c r="V872" s="125"/>
      <c r="W872" s="125"/>
      <c r="X872" s="125"/>
      <c r="Y872" s="125"/>
      <c r="Z872" s="125"/>
    </row>
    <row r="873">
      <c r="A873" s="329"/>
      <c r="B873" s="119" t="s">
        <v>2835</v>
      </c>
      <c r="C873" s="121" t="s">
        <v>7937</v>
      </c>
      <c r="D873" s="121" t="s">
        <v>40</v>
      </c>
      <c r="E873" s="221"/>
      <c r="F873" s="123">
        <f t="shared" si="1"/>
        <v>1</v>
      </c>
      <c r="G873" s="121"/>
      <c r="H873" s="12"/>
      <c r="I873" s="192"/>
      <c r="J873" s="192"/>
      <c r="K873" s="192"/>
      <c r="L873" s="121"/>
      <c r="M873" s="125"/>
      <c r="N873" s="221"/>
      <c r="O873" s="122" t="s">
        <v>7938</v>
      </c>
      <c r="P873" s="221"/>
      <c r="Q873" s="221"/>
      <c r="R873" s="223"/>
      <c r="S873" s="223"/>
      <c r="T873" s="221"/>
      <c r="U873" s="125"/>
      <c r="V873" s="125"/>
      <c r="W873" s="125"/>
      <c r="X873" s="125"/>
      <c r="Y873" s="125"/>
      <c r="Z873" s="125"/>
    </row>
    <row r="874">
      <c r="A874" s="329"/>
      <c r="B874" s="119" t="s">
        <v>2835</v>
      </c>
      <c r="C874" s="121" t="s">
        <v>7939</v>
      </c>
      <c r="D874" s="121" t="s">
        <v>40</v>
      </c>
      <c r="E874" s="221"/>
      <c r="F874" s="123">
        <f t="shared" si="1"/>
        <v>1</v>
      </c>
      <c r="G874" s="121"/>
      <c r="H874" s="12"/>
      <c r="I874" s="192"/>
      <c r="J874" s="192"/>
      <c r="K874" s="192"/>
      <c r="L874" s="121"/>
      <c r="M874" s="125"/>
      <c r="N874" s="221"/>
      <c r="O874" s="122" t="s">
        <v>7940</v>
      </c>
      <c r="P874" s="221"/>
      <c r="Q874" s="221"/>
      <c r="R874" s="223"/>
      <c r="S874" s="223"/>
      <c r="T874" s="221"/>
      <c r="U874" s="125"/>
      <c r="V874" s="125"/>
      <c r="W874" s="125"/>
      <c r="X874" s="125"/>
      <c r="Y874" s="125"/>
      <c r="Z874" s="125"/>
    </row>
    <row r="875">
      <c r="A875" s="329"/>
      <c r="B875" s="119" t="s">
        <v>2835</v>
      </c>
      <c r="C875" s="121" t="s">
        <v>7941</v>
      </c>
      <c r="D875" s="121" t="s">
        <v>40</v>
      </c>
      <c r="E875" s="221"/>
      <c r="F875" s="123">
        <f t="shared" si="1"/>
        <v>1</v>
      </c>
      <c r="G875" s="121"/>
      <c r="H875" s="12"/>
      <c r="I875" s="192"/>
      <c r="J875" s="192"/>
      <c r="K875" s="192"/>
      <c r="L875" s="121"/>
      <c r="M875" s="125"/>
      <c r="N875" s="221"/>
      <c r="O875" s="122" t="s">
        <v>7942</v>
      </c>
      <c r="P875" s="221"/>
      <c r="Q875" s="221"/>
      <c r="R875" s="223"/>
      <c r="S875" s="223"/>
      <c r="T875" s="221"/>
      <c r="U875" s="125"/>
      <c r="V875" s="125"/>
      <c r="W875" s="125"/>
      <c r="X875" s="125"/>
      <c r="Y875" s="125"/>
      <c r="Z875" s="125"/>
    </row>
    <row r="876">
      <c r="A876" s="329"/>
      <c r="B876" s="119" t="s">
        <v>2835</v>
      </c>
      <c r="C876" s="121" t="s">
        <v>7943</v>
      </c>
      <c r="D876" s="121" t="s">
        <v>40</v>
      </c>
      <c r="E876" s="221"/>
      <c r="F876" s="123">
        <f t="shared" si="1"/>
        <v>1</v>
      </c>
      <c r="G876" s="121"/>
      <c r="H876" s="12"/>
      <c r="I876" s="192"/>
      <c r="J876" s="192"/>
      <c r="K876" s="192"/>
      <c r="L876" s="121"/>
      <c r="M876" s="125"/>
      <c r="N876" s="221"/>
      <c r="O876" s="122" t="s">
        <v>7944</v>
      </c>
      <c r="P876" s="221"/>
      <c r="Q876" s="221"/>
      <c r="R876" s="223"/>
      <c r="S876" s="223"/>
      <c r="T876" s="221"/>
      <c r="U876" s="125"/>
      <c r="V876" s="125"/>
      <c r="W876" s="125"/>
      <c r="X876" s="125"/>
      <c r="Y876" s="125"/>
      <c r="Z876" s="125"/>
    </row>
    <row r="877">
      <c r="A877" s="329"/>
      <c r="B877" s="119" t="s">
        <v>2835</v>
      </c>
      <c r="C877" s="122" t="s">
        <v>7945</v>
      </c>
      <c r="D877" s="121" t="s">
        <v>40</v>
      </c>
      <c r="E877" s="221"/>
      <c r="F877" s="123">
        <f t="shared" si="1"/>
        <v>1</v>
      </c>
      <c r="G877" s="121"/>
      <c r="H877" s="12"/>
      <c r="I877" s="192"/>
      <c r="J877" s="192"/>
      <c r="K877" s="192"/>
      <c r="L877" s="121"/>
      <c r="M877" s="125"/>
      <c r="N877" s="221"/>
      <c r="O877" s="122" t="s">
        <v>7946</v>
      </c>
      <c r="P877" s="221"/>
      <c r="Q877" s="221"/>
      <c r="R877" s="223"/>
      <c r="S877" s="223"/>
      <c r="T877" s="221"/>
      <c r="U877" s="125"/>
      <c r="V877" s="125"/>
      <c r="W877" s="125"/>
      <c r="X877" s="125"/>
      <c r="Y877" s="125"/>
      <c r="Z877" s="125"/>
    </row>
    <row r="878">
      <c r="A878" s="329"/>
      <c r="B878" s="119" t="s">
        <v>2835</v>
      </c>
      <c r="C878" s="121" t="s">
        <v>7947</v>
      </c>
      <c r="D878" s="121" t="s">
        <v>40</v>
      </c>
      <c r="E878" s="221"/>
      <c r="F878" s="123">
        <f t="shared" si="1"/>
        <v>1</v>
      </c>
      <c r="G878" s="121"/>
      <c r="H878" s="12"/>
      <c r="I878" s="192"/>
      <c r="J878" s="192"/>
      <c r="K878" s="192"/>
      <c r="L878" s="121"/>
      <c r="M878" s="125"/>
      <c r="N878" s="221"/>
      <c r="O878" s="122" t="s">
        <v>7948</v>
      </c>
      <c r="P878" s="221"/>
      <c r="Q878" s="221"/>
      <c r="R878" s="223"/>
      <c r="S878" s="223"/>
      <c r="T878" s="221"/>
      <c r="U878" s="125"/>
      <c r="V878" s="125"/>
      <c r="W878" s="125"/>
      <c r="X878" s="125"/>
      <c r="Y878" s="125"/>
      <c r="Z878" s="125"/>
    </row>
    <row r="879">
      <c r="A879" s="329"/>
      <c r="B879" s="119" t="s">
        <v>2835</v>
      </c>
      <c r="C879" s="121" t="s">
        <v>7949</v>
      </c>
      <c r="D879" s="121" t="s">
        <v>16</v>
      </c>
      <c r="E879" s="221"/>
      <c r="F879" s="123">
        <f t="shared" si="1"/>
        <v>1</v>
      </c>
      <c r="G879" s="121"/>
      <c r="H879" s="12"/>
      <c r="I879" s="192"/>
      <c r="J879" s="192"/>
      <c r="K879" s="192"/>
      <c r="L879" s="121"/>
      <c r="M879" s="125"/>
      <c r="N879" s="221"/>
      <c r="O879" s="122" t="s">
        <v>7950</v>
      </c>
      <c r="P879" s="221"/>
      <c r="Q879" s="221"/>
      <c r="R879" s="223"/>
      <c r="S879" s="223"/>
      <c r="T879" s="221"/>
      <c r="U879" s="125"/>
      <c r="V879" s="125"/>
      <c r="W879" s="125"/>
      <c r="X879" s="125"/>
      <c r="Y879" s="125"/>
      <c r="Z879" s="125"/>
    </row>
    <row r="880">
      <c r="A880" s="329"/>
      <c r="B880" s="119" t="s">
        <v>2835</v>
      </c>
      <c r="C880" s="121" t="s">
        <v>3010</v>
      </c>
      <c r="D880" s="121" t="s">
        <v>40</v>
      </c>
      <c r="E880" s="221" t="s">
        <v>3011</v>
      </c>
      <c r="F880" s="123">
        <f t="shared" si="1"/>
        <v>2</v>
      </c>
      <c r="G880" s="121" t="s">
        <v>3012</v>
      </c>
      <c r="H880" s="12"/>
      <c r="I880" s="192" t="str">
        <f>IFERROR(__xludf.DUMMYFUNCTION("regexreplace(lower(C880), ""_"", """")"),"mrit2flairaxial")</f>
        <v>mrit2flairaxial</v>
      </c>
      <c r="J880" s="192" t="b">
        <f t="shared" ref="J880:J886" si="55">exact(I880, K880)</f>
        <v>1</v>
      </c>
      <c r="K880" s="192" t="str">
        <f>IFERROR(__xludf.DUMMYFUNCTION("regexreplace(G880, ""_"", """")"),"mrit2flairaxial")</f>
        <v>mrit2flairaxial</v>
      </c>
      <c r="L8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""$1$2"")"),"mri_t2flair_axial")</f>
        <v>mri_t2flair_axial</v>
      </c>
      <c r="M880" s="125"/>
      <c r="N880" s="221"/>
      <c r="O880" s="125"/>
      <c r="P880" s="221" t="s">
        <v>3013</v>
      </c>
      <c r="Q880" s="221" t="s">
        <v>3014</v>
      </c>
      <c r="R880" s="223"/>
      <c r="S880" s="223"/>
      <c r="T880" s="221"/>
      <c r="U880" s="125"/>
      <c r="V880" s="125"/>
      <c r="W880" s="125"/>
      <c r="X880" s="125"/>
      <c r="Y880" s="125"/>
      <c r="Z880" s="125"/>
    </row>
    <row r="881">
      <c r="A881" s="329"/>
      <c r="B881" s="119" t="s">
        <v>2835</v>
      </c>
      <c r="C881" s="121" t="s">
        <v>3015</v>
      </c>
      <c r="D881" s="121" t="s">
        <v>40</v>
      </c>
      <c r="E881" s="221"/>
      <c r="F881" s="123">
        <f t="shared" si="1"/>
        <v>1</v>
      </c>
      <c r="G881" s="121" t="s">
        <v>3016</v>
      </c>
      <c r="H881" s="12"/>
      <c r="I881" s="192" t="str">
        <f>IFERROR(__xludf.DUMMYFUNCTION("regexreplace(lower(C881), ""_"", """")"),"mrit2flairaxialc")</f>
        <v>mrit2flairaxialc</v>
      </c>
      <c r="J881" s="192" t="b">
        <f t="shared" si="55"/>
        <v>1</v>
      </c>
      <c r="K881" s="192" t="str">
        <f>IFERROR(__xludf.DUMMYFUNCTION("regexreplace(G881, ""_"", """")"),"mrit2flairaxialc")</f>
        <v>mrit2flairaxialc</v>
      </c>
      <c r="L8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""$1$2"")"),"mri_t2flair_axial_c")</f>
        <v>mri_t2flair_axial_c</v>
      </c>
      <c r="M881" s="125"/>
      <c r="N881" s="221"/>
      <c r="O881" s="125"/>
      <c r="P881" s="221" t="s">
        <v>3017</v>
      </c>
      <c r="Q881" s="223"/>
      <c r="R881" s="223"/>
      <c r="S881" s="223"/>
      <c r="T881" s="125"/>
      <c r="U881" s="125"/>
      <c r="V881" s="125"/>
      <c r="W881" s="125"/>
      <c r="X881" s="125"/>
      <c r="Y881" s="125"/>
      <c r="Z881" s="125"/>
    </row>
    <row r="882">
      <c r="A882" s="329"/>
      <c r="B882" s="119" t="s">
        <v>2835</v>
      </c>
      <c r="C882" s="121" t="s">
        <v>3018</v>
      </c>
      <c r="D882" s="121" t="s">
        <v>40</v>
      </c>
      <c r="E882" s="221" t="s">
        <v>3019</v>
      </c>
      <c r="F882" s="123">
        <f t="shared" si="1"/>
        <v>2</v>
      </c>
      <c r="G882" s="121" t="s">
        <v>3020</v>
      </c>
      <c r="H882" s="12"/>
      <c r="I882" s="192" t="str">
        <f>IFERROR(__xludf.DUMMYFUNCTION("regexreplace(lower(C882), ""_"", """")"),"mrit2flaircoronal")</f>
        <v>mrit2flaircoronal</v>
      </c>
      <c r="J882" s="192" t="b">
        <f t="shared" si="55"/>
        <v>1</v>
      </c>
      <c r="K882" s="192" t="str">
        <f>IFERROR(__xludf.DUMMYFUNCTION("regexreplace(G882, ""_"", """")"),"mrit2flaircoronal")</f>
        <v>mrit2flaircoronal</v>
      </c>
      <c r="L8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""$1$2"")"),"mri_t2flair_coronal")</f>
        <v>mri_t2flair_coronal</v>
      </c>
      <c r="M882" s="125"/>
      <c r="N882" s="221"/>
      <c r="O882" s="125"/>
      <c r="P882" s="221" t="s">
        <v>3021</v>
      </c>
      <c r="Q882" s="221" t="s">
        <v>3022</v>
      </c>
      <c r="R882" s="223"/>
      <c r="S882" s="223"/>
      <c r="T882" s="125"/>
      <c r="U882" s="125"/>
      <c r="V882" s="125"/>
      <c r="W882" s="125"/>
      <c r="X882" s="125"/>
      <c r="Y882" s="125"/>
      <c r="Z882" s="125"/>
    </row>
    <row r="883">
      <c r="A883" s="329"/>
      <c r="B883" s="119" t="s">
        <v>2835</v>
      </c>
      <c r="C883" s="121" t="s">
        <v>3023</v>
      </c>
      <c r="D883" s="121" t="s">
        <v>40</v>
      </c>
      <c r="E883" s="221"/>
      <c r="F883" s="123">
        <f t="shared" si="1"/>
        <v>1</v>
      </c>
      <c r="G883" s="121" t="s">
        <v>3024</v>
      </c>
      <c r="H883" s="12"/>
      <c r="I883" s="192" t="str">
        <f>IFERROR(__xludf.DUMMYFUNCTION("regexreplace(lower(C883), ""_"", """")"),"mrit2flaircoronalc")</f>
        <v>mrit2flaircoronalc</v>
      </c>
      <c r="J883" s="192" t="b">
        <f t="shared" si="55"/>
        <v>1</v>
      </c>
      <c r="K883" s="192" t="str">
        <f>IFERROR(__xludf.DUMMYFUNCTION("regexreplace(G883, ""_"", """")"),"mrit2flaircoronalc")</f>
        <v>mrit2flaircoronalc</v>
      </c>
      <c r="L8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""$1$2"")"),"mri_t2flair_coronal_c")</f>
        <v>mri_t2flair_coronal_c</v>
      </c>
      <c r="M883" s="125"/>
      <c r="N883" s="221"/>
      <c r="O883" s="125"/>
      <c r="P883" s="221" t="s">
        <v>3025</v>
      </c>
      <c r="Q883" s="223"/>
      <c r="R883" s="223"/>
      <c r="S883" s="223"/>
      <c r="T883" s="125"/>
      <c r="U883" s="125"/>
      <c r="V883" s="125"/>
      <c r="W883" s="125"/>
      <c r="X883" s="125"/>
      <c r="Y883" s="125"/>
      <c r="Z883" s="125"/>
    </row>
    <row r="884">
      <c r="A884" s="329"/>
      <c r="B884" s="119" t="s">
        <v>2835</v>
      </c>
      <c r="C884" s="121" t="s">
        <v>3026</v>
      </c>
      <c r="D884" s="121" t="s">
        <v>40</v>
      </c>
      <c r="E884" s="221" t="s">
        <v>3027</v>
      </c>
      <c r="F884" s="123">
        <f t="shared" si="1"/>
        <v>2</v>
      </c>
      <c r="G884" s="121" t="s">
        <v>3028</v>
      </c>
      <c r="H884" s="12"/>
      <c r="I884" s="192" t="str">
        <f>IFERROR(__xludf.DUMMYFUNCTION("regexreplace(lower(C884), ""_"", """")"),"mrit2flairsagittal")</f>
        <v>mrit2flairsagittal</v>
      </c>
      <c r="J884" s="192" t="b">
        <f t="shared" si="55"/>
        <v>1</v>
      </c>
      <c r="K884" s="192" t="str">
        <f>IFERROR(__xludf.DUMMYFUNCTION("regexreplace(G884, ""_"", """")"),"mrit2flairsagittal")</f>
        <v>mrit2flairsagittal</v>
      </c>
      <c r="L8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""$1$2"")"),"mri_t2flair_sagittal")</f>
        <v>mri_t2flair_sagittal</v>
      </c>
      <c r="M884" s="125"/>
      <c r="N884" s="221"/>
      <c r="O884" s="125"/>
      <c r="P884" s="221" t="s">
        <v>3029</v>
      </c>
      <c r="Q884" s="221" t="s">
        <v>3030</v>
      </c>
      <c r="R884" s="223"/>
      <c r="S884" s="223"/>
      <c r="T884" s="125"/>
      <c r="U884" s="125"/>
      <c r="V884" s="125"/>
      <c r="W884" s="125"/>
      <c r="X884" s="125"/>
      <c r="Y884" s="125"/>
      <c r="Z884" s="125"/>
    </row>
    <row r="885">
      <c r="A885" s="329"/>
      <c r="B885" s="119" t="s">
        <v>2835</v>
      </c>
      <c r="C885" s="121" t="s">
        <v>3031</v>
      </c>
      <c r="D885" s="121" t="s">
        <v>40</v>
      </c>
      <c r="E885" s="221"/>
      <c r="F885" s="123">
        <f t="shared" si="1"/>
        <v>1</v>
      </c>
      <c r="G885" s="121" t="s">
        <v>3032</v>
      </c>
      <c r="H885" s="12"/>
      <c r="I885" s="192" t="str">
        <f>IFERROR(__xludf.DUMMYFUNCTION("regexreplace(lower(C885), ""_"", """")"),"mrit2flairsagittalc")</f>
        <v>mrit2flairsagittalc</v>
      </c>
      <c r="J885" s="192" t="b">
        <f t="shared" si="55"/>
        <v>1</v>
      </c>
      <c r="K885" s="192" t="str">
        <f>IFERROR(__xludf.DUMMYFUNCTION("regexreplace(G885, ""_"", """")"),"mrit2flairsagittalc")</f>
        <v>mrit2flairsagittalc</v>
      </c>
      <c r="L8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""$1$2"")"),"mri_t2flair_sagittal_c")</f>
        <v>mri_t2flair_sagittal_c</v>
      </c>
      <c r="M885" s="125"/>
      <c r="N885" s="221"/>
      <c r="O885" s="125"/>
      <c r="P885" s="221" t="s">
        <v>3033</v>
      </c>
      <c r="Q885" s="223"/>
      <c r="R885" s="223"/>
      <c r="S885" s="223"/>
      <c r="T885" s="125"/>
      <c r="U885" s="125"/>
      <c r="V885" s="125"/>
      <c r="W885" s="125"/>
      <c r="X885" s="125"/>
      <c r="Y885" s="125"/>
      <c r="Z885" s="125"/>
    </row>
    <row r="886">
      <c r="A886" s="329"/>
      <c r="B886" s="119" t="s">
        <v>2835</v>
      </c>
      <c r="C886" s="121" t="s">
        <v>3034</v>
      </c>
      <c r="D886" s="121" t="s">
        <v>40</v>
      </c>
      <c r="E886" s="221" t="s">
        <v>3035</v>
      </c>
      <c r="F886" s="123">
        <f t="shared" si="1"/>
        <v>1</v>
      </c>
      <c r="G886" s="121" t="s">
        <v>3036</v>
      </c>
      <c r="H886" s="12"/>
      <c r="I886" s="192" t="str">
        <f>IFERROR(__xludf.DUMMYFUNCTION("regexreplace(lower(C886), ""_"", """")"),"mrit2flair")</f>
        <v>mrit2flair</v>
      </c>
      <c r="J886" s="192" t="b">
        <f t="shared" si="55"/>
        <v>1</v>
      </c>
      <c r="K886" s="192" t="str">
        <f>IFERROR(__xludf.DUMMYFUNCTION("regexreplace(G886, ""_"", """")"),"mrit2flair")</f>
        <v>mrit2flair</v>
      </c>
      <c r="L8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""$1$2"")"),"mri_t2flair")</f>
        <v>mri_t2flair</v>
      </c>
      <c r="M886" s="125"/>
      <c r="N886" s="221"/>
      <c r="O886" s="125"/>
      <c r="P886" s="221"/>
      <c r="Q886" s="221" t="s">
        <v>3037</v>
      </c>
      <c r="R886" s="223"/>
      <c r="S886" s="223"/>
      <c r="T886" s="221"/>
      <c r="U886" s="125"/>
      <c r="V886" s="125"/>
      <c r="W886" s="125"/>
      <c r="X886" s="125"/>
      <c r="Y886" s="125"/>
      <c r="Z886" s="125"/>
    </row>
    <row r="887">
      <c r="A887" s="329"/>
      <c r="B887" s="119" t="s">
        <v>2835</v>
      </c>
      <c r="C887" s="121" t="s">
        <v>7951</v>
      </c>
      <c r="D887" s="121" t="s">
        <v>40</v>
      </c>
      <c r="E887" s="221"/>
      <c r="F887" s="123">
        <f t="shared" si="1"/>
        <v>1</v>
      </c>
      <c r="G887" s="121"/>
      <c r="H887" s="12"/>
      <c r="I887" s="192"/>
      <c r="J887" s="192"/>
      <c r="K887" s="192"/>
      <c r="L887" s="121"/>
      <c r="M887" s="125"/>
      <c r="N887" s="221"/>
      <c r="O887" s="122" t="s">
        <v>7952</v>
      </c>
      <c r="P887" s="221"/>
      <c r="Q887" s="221"/>
      <c r="R887" s="223"/>
      <c r="S887" s="223"/>
      <c r="T887" s="221"/>
      <c r="U887" s="125"/>
      <c r="V887" s="125"/>
      <c r="W887" s="125"/>
      <c r="X887" s="125"/>
      <c r="Y887" s="125"/>
      <c r="Z887" s="125"/>
    </row>
    <row r="888">
      <c r="A888" s="329"/>
      <c r="B888" s="119" t="s">
        <v>2835</v>
      </c>
      <c r="C888" s="121" t="s">
        <v>3038</v>
      </c>
      <c r="D888" s="121" t="s">
        <v>40</v>
      </c>
      <c r="E888" s="221" t="s">
        <v>3039</v>
      </c>
      <c r="F888" s="123">
        <f t="shared" si="1"/>
        <v>2</v>
      </c>
      <c r="G888" s="121" t="s">
        <v>3040</v>
      </c>
      <c r="H888" s="12"/>
      <c r="I888" s="192" t="str">
        <f>IFERROR(__xludf.DUMMYFUNCTION("regexreplace(lower(C888), ""_"", """")"),"mrigreswiaxial")</f>
        <v>mrigreswiaxial</v>
      </c>
      <c r="J888" s="192" t="b">
        <f t="shared" ref="J888:J905" si="56">exact(I888, K888)</f>
        <v>1</v>
      </c>
      <c r="K888" s="192" t="str">
        <f>IFERROR(__xludf.DUMMYFUNCTION("regexreplace(G888, ""_"", """")"),"mrigreswiaxial")</f>
        <v>mrigreswiaxial</v>
      </c>
      <c r="L8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""$1$2"")"),"mri_greswi_axial")</f>
        <v>mri_greswi_axial</v>
      </c>
      <c r="M888" s="125"/>
      <c r="N888" s="221"/>
      <c r="O888" s="125"/>
      <c r="P888" s="221" t="s">
        <v>3041</v>
      </c>
      <c r="Q888" s="221" t="s">
        <v>3042</v>
      </c>
      <c r="R888" s="223"/>
      <c r="S888" s="223"/>
      <c r="T888" s="221"/>
      <c r="U888" s="125"/>
      <c r="V888" s="125"/>
      <c r="W888" s="125"/>
      <c r="X888" s="125"/>
      <c r="Y888" s="125"/>
      <c r="Z888" s="125"/>
    </row>
    <row r="889">
      <c r="A889" s="329"/>
      <c r="B889" s="119" t="s">
        <v>2835</v>
      </c>
      <c r="C889" s="121" t="s">
        <v>3043</v>
      </c>
      <c r="D889" s="121" t="s">
        <v>40</v>
      </c>
      <c r="E889" s="221"/>
      <c r="F889" s="123">
        <f t="shared" si="1"/>
        <v>1</v>
      </c>
      <c r="G889" s="121" t="s">
        <v>3044</v>
      </c>
      <c r="H889" s="12"/>
      <c r="I889" s="192" t="str">
        <f>IFERROR(__xludf.DUMMYFUNCTION("regexreplace(lower(C889), ""_"", """")"),"mrigreswiaxialc")</f>
        <v>mrigreswiaxialc</v>
      </c>
      <c r="J889" s="192" t="b">
        <f t="shared" si="56"/>
        <v>1</v>
      </c>
      <c r="K889" s="192" t="str">
        <f>IFERROR(__xludf.DUMMYFUNCTION("regexreplace(G889, ""_"", """")"),"mrigreswiaxialc")</f>
        <v>mrigreswiaxialc</v>
      </c>
      <c r="L8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""$1$2"")"),"mri_greswi_axial_c")</f>
        <v>mri_greswi_axial_c</v>
      </c>
      <c r="M889" s="125"/>
      <c r="N889" s="221"/>
      <c r="O889" s="125"/>
      <c r="P889" s="221" t="s">
        <v>3045</v>
      </c>
      <c r="Q889" s="223"/>
      <c r="R889" s="223"/>
      <c r="S889" s="223"/>
      <c r="T889" s="221"/>
      <c r="U889" s="125"/>
      <c r="V889" s="125"/>
      <c r="W889" s="125"/>
      <c r="X889" s="125"/>
      <c r="Y889" s="125"/>
      <c r="Z889" s="125"/>
    </row>
    <row r="890">
      <c r="A890" s="329"/>
      <c r="B890" s="119" t="s">
        <v>2835</v>
      </c>
      <c r="C890" s="121" t="s">
        <v>3046</v>
      </c>
      <c r="D890" s="121" t="s">
        <v>40</v>
      </c>
      <c r="E890" s="221" t="s">
        <v>3047</v>
      </c>
      <c r="F890" s="123">
        <f t="shared" si="1"/>
        <v>2</v>
      </c>
      <c r="G890" s="121" t="s">
        <v>3048</v>
      </c>
      <c r="H890" s="12"/>
      <c r="I890" s="192" t="str">
        <f>IFERROR(__xludf.DUMMYFUNCTION("regexreplace(lower(C890), ""_"", """")"),"mrigreswicoronal")</f>
        <v>mrigreswicoronal</v>
      </c>
      <c r="J890" s="192" t="b">
        <f t="shared" si="56"/>
        <v>1</v>
      </c>
      <c r="K890" s="192" t="str">
        <f>IFERROR(__xludf.DUMMYFUNCTION("regexreplace(G890, ""_"", """")"),"mrigreswicoronal")</f>
        <v>mrigreswicoronal</v>
      </c>
      <c r="L8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""$1$2"")"),"mri_greswi_coronal")</f>
        <v>mri_greswi_coronal</v>
      </c>
      <c r="M890" s="125"/>
      <c r="N890" s="221"/>
      <c r="O890" s="125"/>
      <c r="P890" s="221" t="s">
        <v>3049</v>
      </c>
      <c r="Q890" s="221" t="s">
        <v>3050</v>
      </c>
      <c r="R890" s="223"/>
      <c r="S890" s="223"/>
      <c r="T890" s="125"/>
      <c r="U890" s="125"/>
      <c r="V890" s="125"/>
      <c r="W890" s="125"/>
      <c r="X890" s="125"/>
      <c r="Y890" s="125"/>
      <c r="Z890" s="125"/>
    </row>
    <row r="891">
      <c r="A891" s="329"/>
      <c r="B891" s="119" t="s">
        <v>2835</v>
      </c>
      <c r="C891" s="121" t="s">
        <v>3051</v>
      </c>
      <c r="D891" s="121" t="s">
        <v>40</v>
      </c>
      <c r="E891" s="221"/>
      <c r="F891" s="123">
        <f t="shared" si="1"/>
        <v>1</v>
      </c>
      <c r="G891" s="121" t="s">
        <v>3052</v>
      </c>
      <c r="H891" s="12"/>
      <c r="I891" s="192" t="str">
        <f>IFERROR(__xludf.DUMMYFUNCTION("regexreplace(lower(C891), ""_"", """")"),"mrigreswicoronalc")</f>
        <v>mrigreswicoronalc</v>
      </c>
      <c r="J891" s="192" t="b">
        <f t="shared" si="56"/>
        <v>1</v>
      </c>
      <c r="K891" s="192" t="str">
        <f>IFERROR(__xludf.DUMMYFUNCTION("regexreplace(G891, ""_"", """")"),"mrigreswicoronalc")</f>
        <v>mrigreswicoronalc</v>
      </c>
      <c r="L8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""$1$2"")"),"mri_greswi_coronal_c")</f>
        <v>mri_greswi_coronal_c</v>
      </c>
      <c r="M891" s="125"/>
      <c r="N891" s="221"/>
      <c r="O891" s="125"/>
      <c r="P891" s="221" t="s">
        <v>3053</v>
      </c>
      <c r="Q891" s="223"/>
      <c r="R891" s="223"/>
      <c r="S891" s="223"/>
      <c r="T891" s="125"/>
      <c r="U891" s="125"/>
      <c r="V891" s="125"/>
      <c r="W891" s="125"/>
      <c r="X891" s="125"/>
      <c r="Y891" s="125"/>
      <c r="Z891" s="125"/>
    </row>
    <row r="892">
      <c r="A892" s="329"/>
      <c r="B892" s="119" t="s">
        <v>2835</v>
      </c>
      <c r="C892" s="121" t="s">
        <v>3054</v>
      </c>
      <c r="D892" s="121" t="s">
        <v>40</v>
      </c>
      <c r="E892" s="221" t="s">
        <v>3055</v>
      </c>
      <c r="F892" s="123">
        <f t="shared" si="1"/>
        <v>2</v>
      </c>
      <c r="G892" s="121" t="s">
        <v>3056</v>
      </c>
      <c r="H892" s="12"/>
      <c r="I892" s="192" t="str">
        <f>IFERROR(__xludf.DUMMYFUNCTION("regexreplace(lower(C892), ""_"", """")"),"mrigreswisagittal")</f>
        <v>mrigreswisagittal</v>
      </c>
      <c r="J892" s="192" t="b">
        <f t="shared" si="56"/>
        <v>1</v>
      </c>
      <c r="K892" s="192" t="str">
        <f>IFERROR(__xludf.DUMMYFUNCTION("regexreplace(G892, ""_"", """")"),"mrigreswisagittal")</f>
        <v>mrigreswisagittal</v>
      </c>
      <c r="L8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""$1$2"")"),"mri_greswi_sagittal")</f>
        <v>mri_greswi_sagittal</v>
      </c>
      <c r="M892" s="125"/>
      <c r="N892" s="221"/>
      <c r="O892" s="125"/>
      <c r="P892" s="221" t="s">
        <v>3057</v>
      </c>
      <c r="Q892" s="221" t="s">
        <v>3058</v>
      </c>
      <c r="R892" s="223"/>
      <c r="S892" s="223"/>
      <c r="T892" s="125"/>
      <c r="U892" s="125"/>
      <c r="V892" s="125"/>
      <c r="W892" s="125"/>
      <c r="X892" s="125"/>
      <c r="Y892" s="125"/>
      <c r="Z892" s="125"/>
    </row>
    <row r="893">
      <c r="A893" s="329"/>
      <c r="B893" s="119" t="s">
        <v>2835</v>
      </c>
      <c r="C893" s="121" t="s">
        <v>3059</v>
      </c>
      <c r="D893" s="121" t="s">
        <v>40</v>
      </c>
      <c r="E893" s="221"/>
      <c r="F893" s="123">
        <f t="shared" si="1"/>
        <v>1</v>
      </c>
      <c r="G893" s="121" t="s">
        <v>3060</v>
      </c>
      <c r="H893" s="12"/>
      <c r="I893" s="192" t="str">
        <f>IFERROR(__xludf.DUMMYFUNCTION("regexreplace(lower(C893), ""_"", """")"),"mrigreswisagittalc")</f>
        <v>mrigreswisagittalc</v>
      </c>
      <c r="J893" s="192" t="b">
        <f t="shared" si="56"/>
        <v>1</v>
      </c>
      <c r="K893" s="192" t="str">
        <f>IFERROR(__xludf.DUMMYFUNCTION("regexreplace(G893, ""_"", """")"),"mrigreswisagittalc")</f>
        <v>mrigreswisagittalc</v>
      </c>
      <c r="L8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""$1$2"")"),"mri_greswi_sagittal_c")</f>
        <v>mri_greswi_sagittal_c</v>
      </c>
      <c r="M893" s="125"/>
      <c r="N893" s="221"/>
      <c r="O893" s="125"/>
      <c r="P893" s="221" t="s">
        <v>3061</v>
      </c>
      <c r="Q893" s="223"/>
      <c r="R893" s="223"/>
      <c r="S893" s="223"/>
      <c r="T893" s="125"/>
      <c r="U893" s="125"/>
      <c r="V893" s="125"/>
      <c r="W893" s="125"/>
      <c r="X893" s="125"/>
      <c r="Y893" s="125"/>
      <c r="Z893" s="125"/>
    </row>
    <row r="894">
      <c r="A894" s="329"/>
      <c r="B894" s="119" t="s">
        <v>2835</v>
      </c>
      <c r="C894" s="121" t="s">
        <v>3062</v>
      </c>
      <c r="D894" s="121" t="s">
        <v>40</v>
      </c>
      <c r="E894" s="221" t="s">
        <v>3063</v>
      </c>
      <c r="F894" s="123">
        <f t="shared" si="1"/>
        <v>1</v>
      </c>
      <c r="G894" s="121" t="s">
        <v>3064</v>
      </c>
      <c r="H894" s="12"/>
      <c r="I894" s="192" t="str">
        <f>IFERROR(__xludf.DUMMYFUNCTION("regexreplace(lower(C894), ""_"", """")"),"mrigreswi")</f>
        <v>mrigreswi</v>
      </c>
      <c r="J894" s="192" t="b">
        <f t="shared" si="56"/>
        <v>1</v>
      </c>
      <c r="K894" s="192" t="str">
        <f>IFERROR(__xludf.DUMMYFUNCTION("regexreplace(G894, ""_"", """")"),"mrigreswi")</f>
        <v>mrigreswi</v>
      </c>
      <c r="L8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""$1$2"")"),"mri_greswi")</f>
        <v>mri_greswi</v>
      </c>
      <c r="M894" s="125"/>
      <c r="N894" s="221"/>
      <c r="O894" s="125"/>
      <c r="P894" s="221"/>
      <c r="Q894" s="221" t="s">
        <v>3065</v>
      </c>
      <c r="R894" s="223"/>
      <c r="S894" s="223"/>
      <c r="T894" s="125"/>
      <c r="U894" s="125"/>
      <c r="V894" s="125"/>
      <c r="W894" s="125"/>
      <c r="X894" s="125"/>
      <c r="Y894" s="125"/>
      <c r="Z894" s="125"/>
    </row>
    <row r="895">
      <c r="A895" s="329"/>
      <c r="B895" s="119" t="s">
        <v>2835</v>
      </c>
      <c r="C895" s="121" t="s">
        <v>3066</v>
      </c>
      <c r="D895" s="121" t="s">
        <v>40</v>
      </c>
      <c r="E895" s="221" t="s">
        <v>3067</v>
      </c>
      <c r="F895" s="123">
        <f t="shared" si="1"/>
        <v>2</v>
      </c>
      <c r="G895" s="121" t="s">
        <v>3068</v>
      </c>
      <c r="H895" s="12"/>
      <c r="I895" s="192" t="str">
        <f>IFERROR(__xludf.DUMMYFUNCTION("regexreplace(lower(C895), ""_"", """")"),"mrispgraxial")</f>
        <v>mrispgraxial</v>
      </c>
      <c r="J895" s="192" t="b">
        <f t="shared" si="56"/>
        <v>1</v>
      </c>
      <c r="K895" s="192" t="str">
        <f>IFERROR(__xludf.DUMMYFUNCTION("regexreplace(G895, ""_"", """")"),"mrispgraxial")</f>
        <v>mrispgraxial</v>
      </c>
      <c r="L8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""$1$2"")"),"mri_spgr_axial")</f>
        <v>mri_spgr_axial</v>
      </c>
      <c r="M895" s="125"/>
      <c r="N895" s="221"/>
      <c r="O895" s="125"/>
      <c r="P895" s="221" t="s">
        <v>3069</v>
      </c>
      <c r="Q895" s="221" t="s">
        <v>3070</v>
      </c>
      <c r="R895" s="223"/>
      <c r="S895" s="223"/>
      <c r="T895" s="125"/>
      <c r="U895" s="125"/>
      <c r="V895" s="125"/>
      <c r="W895" s="125"/>
      <c r="X895" s="125"/>
      <c r="Y895" s="125"/>
      <c r="Z895" s="125"/>
    </row>
    <row r="896">
      <c r="A896" s="329"/>
      <c r="B896" s="119" t="s">
        <v>2835</v>
      </c>
      <c r="C896" s="121" t="s">
        <v>3071</v>
      </c>
      <c r="D896" s="121" t="s">
        <v>40</v>
      </c>
      <c r="E896" s="221"/>
      <c r="F896" s="123">
        <f t="shared" si="1"/>
        <v>1</v>
      </c>
      <c r="G896" s="121" t="s">
        <v>3072</v>
      </c>
      <c r="H896" s="12"/>
      <c r="I896" s="192" t="str">
        <f>IFERROR(__xludf.DUMMYFUNCTION("regexreplace(lower(C896), ""_"", """")"),"mrispgraxialc")</f>
        <v>mrispgraxialc</v>
      </c>
      <c r="J896" s="192" t="b">
        <f t="shared" si="56"/>
        <v>1</v>
      </c>
      <c r="K896" s="192" t="str">
        <f>IFERROR(__xludf.DUMMYFUNCTION("regexreplace(G896, ""_"", """")"),"mrispgraxialc")</f>
        <v>mrispgraxialc</v>
      </c>
      <c r="L8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""$1$2"")"),"mri_spgr_axial_c")</f>
        <v>mri_spgr_axial_c</v>
      </c>
      <c r="M896" s="125"/>
      <c r="N896" s="221"/>
      <c r="O896" s="125"/>
      <c r="P896" s="221" t="s">
        <v>3073</v>
      </c>
      <c r="Q896" s="223"/>
      <c r="R896" s="223"/>
      <c r="S896" s="223"/>
      <c r="T896" s="125"/>
      <c r="U896" s="125"/>
      <c r="V896" s="125"/>
      <c r="W896" s="125"/>
      <c r="X896" s="125"/>
      <c r="Y896" s="125"/>
      <c r="Z896" s="125"/>
    </row>
    <row r="897">
      <c r="A897" s="329"/>
      <c r="B897" s="119" t="s">
        <v>2835</v>
      </c>
      <c r="C897" s="121" t="s">
        <v>3074</v>
      </c>
      <c r="D897" s="121" t="s">
        <v>40</v>
      </c>
      <c r="E897" s="221" t="s">
        <v>3075</v>
      </c>
      <c r="F897" s="123">
        <f t="shared" si="1"/>
        <v>2</v>
      </c>
      <c r="G897" s="121" t="s">
        <v>3076</v>
      </c>
      <c r="H897" s="12"/>
      <c r="I897" s="192" t="str">
        <f>IFERROR(__xludf.DUMMYFUNCTION("regexreplace(lower(C897), ""_"", """")"),"mrispgrcoronal")</f>
        <v>mrispgrcoronal</v>
      </c>
      <c r="J897" s="192" t="b">
        <f t="shared" si="56"/>
        <v>1</v>
      </c>
      <c r="K897" s="192" t="str">
        <f>IFERROR(__xludf.DUMMYFUNCTION("regexreplace(G897, ""_"", """")"),"mrispgrcoronal")</f>
        <v>mrispgrcoronal</v>
      </c>
      <c r="L8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""$1$2"")"),"mri_spgr_coronal")</f>
        <v>mri_spgr_coronal</v>
      </c>
      <c r="M897" s="125"/>
      <c r="N897" s="221"/>
      <c r="O897" s="125"/>
      <c r="P897" s="221" t="s">
        <v>3077</v>
      </c>
      <c r="Q897" s="221" t="s">
        <v>3078</v>
      </c>
      <c r="R897" s="223"/>
      <c r="S897" s="223"/>
      <c r="T897" s="125"/>
      <c r="U897" s="125"/>
      <c r="V897" s="125"/>
      <c r="W897" s="125"/>
      <c r="X897" s="125"/>
      <c r="Y897" s="125"/>
      <c r="Z897" s="125"/>
    </row>
    <row r="898">
      <c r="A898" s="329"/>
      <c r="B898" s="119" t="s">
        <v>2835</v>
      </c>
      <c r="C898" s="121" t="s">
        <v>3079</v>
      </c>
      <c r="D898" s="121" t="s">
        <v>40</v>
      </c>
      <c r="E898" s="221"/>
      <c r="F898" s="123">
        <f t="shared" si="1"/>
        <v>1</v>
      </c>
      <c r="G898" s="121" t="s">
        <v>3080</v>
      </c>
      <c r="H898" s="12"/>
      <c r="I898" s="192" t="str">
        <f>IFERROR(__xludf.DUMMYFUNCTION("regexreplace(lower(C898), ""_"", """")"),"mrispgrcoronalc")</f>
        <v>mrispgrcoronalc</v>
      </c>
      <c r="J898" s="192" t="b">
        <f t="shared" si="56"/>
        <v>1</v>
      </c>
      <c r="K898" s="192" t="str">
        <f>IFERROR(__xludf.DUMMYFUNCTION("regexreplace(G898, ""_"", """")"),"mrispgrcoronalc")</f>
        <v>mrispgrcoronalc</v>
      </c>
      <c r="L8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""$1$2"")"),"mri_spgr_coronal_c")</f>
        <v>mri_spgr_coronal_c</v>
      </c>
      <c r="M898" s="125"/>
      <c r="N898" s="221"/>
      <c r="O898" s="125"/>
      <c r="P898" s="221" t="s">
        <v>3081</v>
      </c>
      <c r="Q898" s="223"/>
      <c r="R898" s="223"/>
      <c r="S898" s="223"/>
      <c r="T898" s="125"/>
      <c r="U898" s="125"/>
      <c r="V898" s="125"/>
      <c r="W898" s="125"/>
      <c r="X898" s="125"/>
      <c r="Y898" s="125"/>
      <c r="Z898" s="125"/>
    </row>
    <row r="899">
      <c r="A899" s="329"/>
      <c r="B899" s="119" t="s">
        <v>2835</v>
      </c>
      <c r="C899" s="121" t="s">
        <v>3082</v>
      </c>
      <c r="D899" s="121" t="s">
        <v>40</v>
      </c>
      <c r="E899" s="221" t="s">
        <v>3083</v>
      </c>
      <c r="F899" s="123">
        <f t="shared" si="1"/>
        <v>2</v>
      </c>
      <c r="G899" s="121" t="s">
        <v>3084</v>
      </c>
      <c r="H899" s="12"/>
      <c r="I899" s="192" t="str">
        <f>IFERROR(__xludf.DUMMYFUNCTION("regexreplace(lower(C899), ""_"", """")"),"mrispgrsagittal")</f>
        <v>mrispgrsagittal</v>
      </c>
      <c r="J899" s="192" t="b">
        <f t="shared" si="56"/>
        <v>1</v>
      </c>
      <c r="K899" s="192" t="str">
        <f>IFERROR(__xludf.DUMMYFUNCTION("regexreplace(G899, ""_"", """")"),"mrispgrsagittal")</f>
        <v>mrispgrsagittal</v>
      </c>
      <c r="L8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899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""$1$2"")"),"mri_spgr_sagittal")</f>
        <v>mri_spgr_sagittal</v>
      </c>
      <c r="M899" s="125"/>
      <c r="N899" s="221"/>
      <c r="O899" s="125"/>
      <c r="P899" s="221" t="s">
        <v>3085</v>
      </c>
      <c r="Q899" s="221" t="s">
        <v>3086</v>
      </c>
      <c r="R899" s="223"/>
      <c r="S899" s="223"/>
      <c r="T899" s="125"/>
      <c r="U899" s="125"/>
      <c r="V899" s="125"/>
      <c r="W899" s="125"/>
      <c r="X899" s="125"/>
      <c r="Y899" s="125"/>
      <c r="Z899" s="125"/>
    </row>
    <row r="900">
      <c r="A900" s="329"/>
      <c r="B900" s="119" t="s">
        <v>2835</v>
      </c>
      <c r="C900" s="121" t="s">
        <v>3087</v>
      </c>
      <c r="D900" s="121" t="s">
        <v>40</v>
      </c>
      <c r="E900" s="221"/>
      <c r="F900" s="123">
        <f t="shared" si="1"/>
        <v>1</v>
      </c>
      <c r="G900" s="121" t="s">
        <v>3088</v>
      </c>
      <c r="H900" s="12"/>
      <c r="I900" s="192" t="str">
        <f>IFERROR(__xludf.DUMMYFUNCTION("regexreplace(lower(C900), ""_"", """")"),"mrispgrsagittalc")</f>
        <v>mrispgrsagittalc</v>
      </c>
      <c r="J900" s="192" t="b">
        <f t="shared" si="56"/>
        <v>1</v>
      </c>
      <c r="K900" s="192" t="str">
        <f>IFERROR(__xludf.DUMMYFUNCTION("regexreplace(G900, ""_"", """")"),"mrispgrsagittalc")</f>
        <v>mrispgrsagittalc</v>
      </c>
      <c r="L9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""$1$2"")"),"mri_spgr_sagittal_c")</f>
        <v>mri_spgr_sagittal_c</v>
      </c>
      <c r="M900" s="125"/>
      <c r="N900" s="221"/>
      <c r="O900" s="125"/>
      <c r="P900" s="221" t="s">
        <v>3089</v>
      </c>
      <c r="Q900" s="223"/>
      <c r="R900" s="223"/>
      <c r="S900" s="223"/>
      <c r="T900" s="125"/>
      <c r="U900" s="125"/>
      <c r="V900" s="125"/>
      <c r="W900" s="125"/>
      <c r="X900" s="125"/>
      <c r="Y900" s="125"/>
      <c r="Z900" s="125"/>
    </row>
    <row r="901">
      <c r="A901" s="329"/>
      <c r="B901" s="119" t="s">
        <v>2835</v>
      </c>
      <c r="C901" s="121" t="s">
        <v>3090</v>
      </c>
      <c r="D901" s="121" t="s">
        <v>40</v>
      </c>
      <c r="E901" s="221" t="s">
        <v>3091</v>
      </c>
      <c r="F901" s="123">
        <f t="shared" si="1"/>
        <v>1</v>
      </c>
      <c r="G901" s="121" t="s">
        <v>3092</v>
      </c>
      <c r="H901" s="12"/>
      <c r="I901" s="192" t="str">
        <f>IFERROR(__xludf.DUMMYFUNCTION("regexreplace(lower(C901), ""_"", """")"),"mrispgr")</f>
        <v>mrispgr</v>
      </c>
      <c r="J901" s="192" t="b">
        <f t="shared" si="56"/>
        <v>1</v>
      </c>
      <c r="K901" s="192" t="str">
        <f>IFERROR(__xludf.DUMMYFUNCTION("regexreplace(G901, ""_"", """")"),"mrispgr")</f>
        <v>mrispgr</v>
      </c>
      <c r="L9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""$1$2"")"),"mri_spgr")</f>
        <v>mri_spgr</v>
      </c>
      <c r="M901" s="125"/>
      <c r="N901" s="221"/>
      <c r="O901" s="125"/>
      <c r="P901" s="221"/>
      <c r="Q901" s="221" t="s">
        <v>3093</v>
      </c>
      <c r="R901" s="223"/>
      <c r="S901" s="223"/>
      <c r="T901" s="125"/>
      <c r="U901" s="125"/>
      <c r="V901" s="125"/>
      <c r="W901" s="125"/>
      <c r="X901" s="125"/>
      <c r="Y901" s="125"/>
      <c r="Z901" s="125"/>
    </row>
    <row r="902">
      <c r="A902" s="329"/>
      <c r="B902" s="119" t="s">
        <v>2835</v>
      </c>
      <c r="C902" s="121" t="s">
        <v>3094</v>
      </c>
      <c r="D902" s="121" t="s">
        <v>40</v>
      </c>
      <c r="E902" s="221" t="s">
        <v>3095</v>
      </c>
      <c r="F902" s="123">
        <f t="shared" si="1"/>
        <v>2</v>
      </c>
      <c r="G902" s="121" t="s">
        <v>3096</v>
      </c>
      <c r="H902" s="12"/>
      <c r="I902" s="192" t="str">
        <f>IFERROR(__xludf.DUMMYFUNCTION("regexreplace(lower(C902), ""_"", """")"),"mridwi")</f>
        <v>mridwi</v>
      </c>
      <c r="J902" s="192" t="b">
        <f t="shared" si="56"/>
        <v>1</v>
      </c>
      <c r="K902" s="192" t="str">
        <f>IFERROR(__xludf.DUMMYFUNCTION("regexreplace(G902, ""_"", """")"),"mridwi")</f>
        <v>mridwi</v>
      </c>
      <c r="L9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""$1$2"")"),"mri_dwi")</f>
        <v>mri_dwi</v>
      </c>
      <c r="M902" s="125"/>
      <c r="N902" s="221"/>
      <c r="O902" s="125"/>
      <c r="P902" s="221" t="s">
        <v>3097</v>
      </c>
      <c r="Q902" s="221" t="s">
        <v>3098</v>
      </c>
      <c r="R902" s="223"/>
      <c r="S902" s="223"/>
      <c r="T902" s="125"/>
      <c r="U902" s="125"/>
      <c r="V902" s="125"/>
      <c r="W902" s="125"/>
      <c r="X902" s="125"/>
      <c r="Y902" s="125"/>
      <c r="Z902" s="125"/>
    </row>
    <row r="903">
      <c r="A903" s="329"/>
      <c r="B903" s="119" t="s">
        <v>2835</v>
      </c>
      <c r="C903" s="121" t="s">
        <v>3099</v>
      </c>
      <c r="D903" s="121" t="s">
        <v>40</v>
      </c>
      <c r="E903" s="221"/>
      <c r="F903" s="123">
        <f t="shared" si="1"/>
        <v>2</v>
      </c>
      <c r="G903" s="121" t="s">
        <v>3100</v>
      </c>
      <c r="H903" s="12"/>
      <c r="I903" s="192" t="str">
        <f>IFERROR(__xludf.DUMMYFUNCTION("regexreplace(lower(C903), ""_"", """")"),"mridwic")</f>
        <v>mridwic</v>
      </c>
      <c r="J903" s="192" t="b">
        <f t="shared" si="56"/>
        <v>1</v>
      </c>
      <c r="K903" s="192" t="str">
        <f>IFERROR(__xludf.DUMMYFUNCTION("regexreplace(G903, ""_"", """")"),"mridwic")</f>
        <v>mridwic</v>
      </c>
      <c r="L9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""$1$2"")"),"mri_dwi_c")</f>
        <v>mri_dwi_c</v>
      </c>
      <c r="M903" s="125"/>
      <c r="N903" s="221"/>
      <c r="O903" s="125"/>
      <c r="P903" s="221" t="s">
        <v>3101</v>
      </c>
      <c r="Q903" s="221" t="s">
        <v>3102</v>
      </c>
      <c r="R903" s="223"/>
      <c r="S903" s="223"/>
      <c r="T903" s="125"/>
      <c r="U903" s="125"/>
      <c r="V903" s="125"/>
      <c r="W903" s="125"/>
      <c r="X903" s="125"/>
      <c r="Y903" s="125"/>
      <c r="Z903" s="125"/>
    </row>
    <row r="904">
      <c r="A904" s="329"/>
      <c r="B904" s="119" t="s">
        <v>2835</v>
      </c>
      <c r="C904" s="121" t="s">
        <v>3103</v>
      </c>
      <c r="D904" s="121" t="s">
        <v>40</v>
      </c>
      <c r="E904" s="221" t="s">
        <v>3104</v>
      </c>
      <c r="F904" s="123">
        <f t="shared" si="1"/>
        <v>2</v>
      </c>
      <c r="G904" s="121" t="s">
        <v>3105</v>
      </c>
      <c r="H904" s="12"/>
      <c r="I904" s="192" t="str">
        <f>IFERROR(__xludf.DUMMYFUNCTION("regexreplace(lower(C904), ""_"", """")"),"mriadc")</f>
        <v>mriadc</v>
      </c>
      <c r="J904" s="192" t="b">
        <f t="shared" si="56"/>
        <v>1</v>
      </c>
      <c r="K904" s="192" t="str">
        <f>IFERROR(__xludf.DUMMYFUNCTION("regexreplace(G904, ""_"", """")"),"mriadc")</f>
        <v>mriadc</v>
      </c>
      <c r="L9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""$1$2"")"),"mri_adc")</f>
        <v>mri_adc</v>
      </c>
      <c r="M904" s="125"/>
      <c r="N904" s="221"/>
      <c r="O904" s="125"/>
      <c r="P904" s="221" t="s">
        <v>3106</v>
      </c>
      <c r="Q904" s="221" t="s">
        <v>3107</v>
      </c>
      <c r="R904" s="223"/>
      <c r="S904" s="223"/>
      <c r="T904" s="125"/>
      <c r="U904" s="125"/>
      <c r="V904" s="125"/>
      <c r="W904" s="125"/>
      <c r="X904" s="125"/>
      <c r="Y904" s="125"/>
      <c r="Z904" s="125"/>
    </row>
    <row r="905">
      <c r="A905" s="329"/>
      <c r="B905" s="119" t="s">
        <v>2835</v>
      </c>
      <c r="C905" s="121" t="s">
        <v>3108</v>
      </c>
      <c r="D905" s="121" t="s">
        <v>40</v>
      </c>
      <c r="E905" s="221"/>
      <c r="F905" s="123">
        <f t="shared" si="1"/>
        <v>2</v>
      </c>
      <c r="G905" s="121" t="s">
        <v>3109</v>
      </c>
      <c r="H905" s="12"/>
      <c r="I905" s="192" t="str">
        <f>IFERROR(__xludf.DUMMYFUNCTION("regexreplace(lower(C905), ""_"", """")"),"mriadcc")</f>
        <v>mriadcc</v>
      </c>
      <c r="J905" s="192" t="b">
        <f t="shared" si="56"/>
        <v>1</v>
      </c>
      <c r="K905" s="192" t="str">
        <f>IFERROR(__xludf.DUMMYFUNCTION("regexreplace(G905, ""_"", """")"),"mriadcc")</f>
        <v>mriadcc</v>
      </c>
      <c r="L9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905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""$1$2"")"),"mri_adc_c")</f>
        <v>mri_adc_c</v>
      </c>
      <c r="M905" s="125"/>
      <c r="N905" s="221"/>
      <c r="O905" s="125"/>
      <c r="P905" s="221" t="s">
        <v>3110</v>
      </c>
      <c r="Q905" s="221" t="s">
        <v>3111</v>
      </c>
      <c r="R905" s="223"/>
      <c r="S905" s="223"/>
      <c r="T905" s="125"/>
      <c r="U905" s="125"/>
      <c r="V905" s="125"/>
      <c r="W905" s="125"/>
      <c r="X905" s="125"/>
      <c r="Y905" s="125"/>
      <c r="Z905" s="125"/>
    </row>
    <row r="906">
      <c r="A906" s="329"/>
      <c r="B906" s="119" t="s">
        <v>2835</v>
      </c>
      <c r="C906" s="121" t="s">
        <v>7953</v>
      </c>
      <c r="D906" s="121"/>
      <c r="E906" s="122"/>
      <c r="F906" s="123">
        <f t="shared" si="1"/>
        <v>1</v>
      </c>
      <c r="G906" s="121"/>
      <c r="H906" s="12"/>
      <c r="I906" s="192"/>
      <c r="J906" s="192"/>
      <c r="K906" s="192"/>
      <c r="L906" s="121"/>
      <c r="M906" s="125"/>
      <c r="N906" s="122"/>
      <c r="O906" s="122" t="s">
        <v>7954</v>
      </c>
      <c r="P906" s="122"/>
      <c r="Q906" s="221"/>
      <c r="R906" s="125"/>
      <c r="S906" s="125"/>
      <c r="T906" s="125"/>
      <c r="U906" s="125"/>
      <c r="V906" s="125"/>
      <c r="W906" s="125"/>
      <c r="X906" s="125"/>
      <c r="Y906" s="125"/>
      <c r="Z906" s="125"/>
    </row>
    <row r="907">
      <c r="A907" s="329"/>
      <c r="B907" s="119"/>
      <c r="C907" s="122" t="s">
        <v>7955</v>
      </c>
      <c r="D907" s="121"/>
      <c r="E907" s="122"/>
      <c r="F907" s="123">
        <f t="shared" si="1"/>
        <v>1</v>
      </c>
      <c r="G907" s="121"/>
      <c r="H907" s="12"/>
      <c r="I907" s="192"/>
      <c r="J907" s="192"/>
      <c r="K907" s="192"/>
      <c r="L907" s="121"/>
      <c r="M907" s="125"/>
      <c r="N907" s="122"/>
      <c r="O907" s="122" t="s">
        <v>7956</v>
      </c>
      <c r="P907" s="122"/>
      <c r="Q907" s="221"/>
      <c r="R907" s="125"/>
      <c r="S907" s="125"/>
      <c r="T907" s="125"/>
      <c r="U907" s="125"/>
      <c r="V907" s="125"/>
      <c r="W907" s="125"/>
      <c r="X907" s="125"/>
      <c r="Y907" s="125"/>
      <c r="Z907" s="125"/>
    </row>
    <row r="908">
      <c r="A908" s="329"/>
      <c r="B908" s="119"/>
      <c r="C908" s="121" t="s">
        <v>7957</v>
      </c>
      <c r="D908" s="121"/>
      <c r="E908" s="122"/>
      <c r="F908" s="123">
        <f t="shared" si="1"/>
        <v>1</v>
      </c>
      <c r="G908" s="121"/>
      <c r="H908" s="12"/>
      <c r="I908" s="192"/>
      <c r="J908" s="192"/>
      <c r="K908" s="192"/>
      <c r="L908" s="121"/>
      <c r="M908" s="125"/>
      <c r="N908" s="122"/>
      <c r="O908" s="122" t="s">
        <v>7958</v>
      </c>
      <c r="P908" s="122"/>
      <c r="Q908" s="221"/>
      <c r="R908" s="125"/>
      <c r="S908" s="125"/>
      <c r="T908" s="125"/>
      <c r="U908" s="125"/>
      <c r="V908" s="125"/>
      <c r="W908" s="125"/>
      <c r="X908" s="125"/>
      <c r="Y908" s="125"/>
      <c r="Z908" s="125"/>
    </row>
    <row r="909">
      <c r="A909" s="329"/>
      <c r="B909" s="119"/>
      <c r="C909" s="121" t="s">
        <v>7959</v>
      </c>
      <c r="D909" s="121"/>
      <c r="E909" s="122"/>
      <c r="F909" s="123">
        <f t="shared" si="1"/>
        <v>1</v>
      </c>
      <c r="G909" s="121"/>
      <c r="H909" s="12"/>
      <c r="I909" s="192"/>
      <c r="J909" s="192"/>
      <c r="K909" s="192"/>
      <c r="L909" s="121"/>
      <c r="M909" s="125"/>
      <c r="N909" s="122"/>
      <c r="O909" s="122" t="s">
        <v>7960</v>
      </c>
      <c r="P909" s="122"/>
      <c r="Q909" s="221"/>
      <c r="R909" s="125"/>
      <c r="S909" s="125"/>
      <c r="T909" s="125"/>
      <c r="U909" s="125"/>
      <c r="V909" s="125"/>
      <c r="W909" s="125"/>
      <c r="X909" s="125"/>
      <c r="Y909" s="125"/>
      <c r="Z909" s="125"/>
    </row>
    <row r="910">
      <c r="A910" s="329"/>
      <c r="B910" s="119"/>
      <c r="C910" s="121" t="s">
        <v>7961</v>
      </c>
      <c r="D910" s="121"/>
      <c r="E910" s="122"/>
      <c r="F910" s="123">
        <f t="shared" si="1"/>
        <v>1</v>
      </c>
      <c r="G910" s="121"/>
      <c r="H910" s="12"/>
      <c r="I910" s="192"/>
      <c r="J910" s="192"/>
      <c r="K910" s="192"/>
      <c r="L910" s="121"/>
      <c r="M910" s="125"/>
      <c r="N910" s="122"/>
      <c r="O910" s="122" t="s">
        <v>7962</v>
      </c>
      <c r="P910" s="122"/>
      <c r="Q910" s="221"/>
      <c r="R910" s="125"/>
      <c r="S910" s="125"/>
      <c r="T910" s="125"/>
      <c r="U910" s="125"/>
      <c r="V910" s="125"/>
      <c r="W910" s="125"/>
      <c r="X910" s="125"/>
      <c r="Y910" s="125"/>
      <c r="Z910" s="125"/>
    </row>
    <row r="911">
      <c r="A911" s="329"/>
      <c r="B911" s="119"/>
      <c r="C911" s="121" t="s">
        <v>7963</v>
      </c>
      <c r="D911" s="121"/>
      <c r="E911" s="122"/>
      <c r="F911" s="123">
        <f t="shared" si="1"/>
        <v>1</v>
      </c>
      <c r="G911" s="121"/>
      <c r="H911" s="12"/>
      <c r="I911" s="192"/>
      <c r="J911" s="192"/>
      <c r="K911" s="192"/>
      <c r="L911" s="121"/>
      <c r="M911" s="125"/>
      <c r="N911" s="122"/>
      <c r="O911" s="122" t="s">
        <v>7964</v>
      </c>
      <c r="P911" s="122"/>
      <c r="Q911" s="221"/>
      <c r="R911" s="125"/>
      <c r="S911" s="125"/>
      <c r="T911" s="125"/>
      <c r="U911" s="125"/>
      <c r="V911" s="125"/>
      <c r="W911" s="125"/>
      <c r="X911" s="125"/>
      <c r="Y911" s="125"/>
      <c r="Z911" s="125"/>
    </row>
    <row r="912">
      <c r="A912" s="329"/>
      <c r="B912" s="119"/>
      <c r="C912" s="121" t="s">
        <v>7965</v>
      </c>
      <c r="D912" s="121"/>
      <c r="E912" s="122"/>
      <c r="F912" s="123">
        <f t="shared" si="1"/>
        <v>1</v>
      </c>
      <c r="G912" s="121"/>
      <c r="H912" s="12"/>
      <c r="I912" s="192"/>
      <c r="J912" s="192"/>
      <c r="K912" s="192"/>
      <c r="L912" s="121"/>
      <c r="M912" s="125"/>
      <c r="N912" s="122"/>
      <c r="O912" s="122" t="s">
        <v>7966</v>
      </c>
      <c r="P912" s="122"/>
      <c r="Q912" s="221"/>
      <c r="R912" s="125"/>
      <c r="S912" s="125"/>
      <c r="T912" s="125"/>
      <c r="U912" s="125"/>
      <c r="V912" s="125"/>
      <c r="W912" s="125"/>
      <c r="X912" s="125"/>
      <c r="Y912" s="125"/>
      <c r="Z912" s="125"/>
    </row>
    <row r="913">
      <c r="A913" s="329"/>
      <c r="B913" s="119"/>
      <c r="C913" s="121" t="s">
        <v>7967</v>
      </c>
      <c r="D913" s="121"/>
      <c r="E913" s="122"/>
      <c r="F913" s="123">
        <f t="shared" si="1"/>
        <v>1</v>
      </c>
      <c r="G913" s="121"/>
      <c r="H913" s="12"/>
      <c r="I913" s="192"/>
      <c r="J913" s="192"/>
      <c r="K913" s="192"/>
      <c r="L913" s="121"/>
      <c r="M913" s="125"/>
      <c r="N913" s="122"/>
      <c r="O913" s="122" t="s">
        <v>7968</v>
      </c>
      <c r="P913" s="122"/>
      <c r="Q913" s="221"/>
      <c r="R913" s="125"/>
      <c r="S913" s="125"/>
      <c r="T913" s="125"/>
      <c r="U913" s="125"/>
      <c r="V913" s="125"/>
      <c r="W913" s="125"/>
      <c r="X913" s="125"/>
      <c r="Y913" s="125"/>
      <c r="Z913" s="125"/>
    </row>
    <row r="914">
      <c r="A914" s="329"/>
      <c r="B914" s="119"/>
      <c r="C914" s="121" t="s">
        <v>7969</v>
      </c>
      <c r="D914" s="121"/>
      <c r="E914" s="122"/>
      <c r="F914" s="123">
        <f t="shared" si="1"/>
        <v>1</v>
      </c>
      <c r="G914" s="121"/>
      <c r="H914" s="12"/>
      <c r="I914" s="192"/>
      <c r="J914" s="192"/>
      <c r="K914" s="192"/>
      <c r="L914" s="121"/>
      <c r="M914" s="125"/>
      <c r="N914" s="122"/>
      <c r="O914" s="122" t="s">
        <v>7970</v>
      </c>
      <c r="P914" s="122"/>
      <c r="Q914" s="221"/>
      <c r="R914" s="125"/>
      <c r="S914" s="125"/>
      <c r="T914" s="125"/>
      <c r="U914" s="125"/>
      <c r="V914" s="125"/>
      <c r="W914" s="125"/>
      <c r="X914" s="125"/>
      <c r="Y914" s="125"/>
      <c r="Z914" s="125"/>
    </row>
    <row r="915">
      <c r="A915" s="329"/>
      <c r="B915" s="119"/>
      <c r="C915" s="121" t="s">
        <v>7971</v>
      </c>
      <c r="D915" s="121"/>
      <c r="E915" s="122"/>
      <c r="F915" s="123">
        <f t="shared" si="1"/>
        <v>1</v>
      </c>
      <c r="G915" s="121"/>
      <c r="H915" s="12"/>
      <c r="I915" s="192"/>
      <c r="J915" s="192"/>
      <c r="K915" s="192"/>
      <c r="L915" s="121"/>
      <c r="M915" s="125"/>
      <c r="N915" s="122"/>
      <c r="O915" s="122" t="s">
        <v>7972</v>
      </c>
      <c r="P915" s="122"/>
      <c r="Q915" s="221"/>
      <c r="R915" s="125"/>
      <c r="S915" s="125"/>
      <c r="T915" s="125"/>
      <c r="U915" s="125"/>
      <c r="V915" s="125"/>
      <c r="W915" s="125"/>
      <c r="X915" s="125"/>
      <c r="Y915" s="125"/>
      <c r="Z915" s="125"/>
    </row>
    <row r="916">
      <c r="A916" s="329"/>
      <c r="B916" s="119"/>
      <c r="C916" s="121" t="s">
        <v>7973</v>
      </c>
      <c r="D916" s="121"/>
      <c r="E916" s="122"/>
      <c r="F916" s="123">
        <f t="shared" si="1"/>
        <v>1</v>
      </c>
      <c r="G916" s="121"/>
      <c r="H916" s="12"/>
      <c r="I916" s="192"/>
      <c r="J916" s="192"/>
      <c r="K916" s="192"/>
      <c r="L916" s="121"/>
      <c r="M916" s="125"/>
      <c r="N916" s="122"/>
      <c r="O916" s="122" t="s">
        <v>7974</v>
      </c>
      <c r="P916" s="122"/>
      <c r="Q916" s="221"/>
      <c r="R916" s="125"/>
      <c r="S916" s="125"/>
      <c r="T916" s="125"/>
      <c r="U916" s="125"/>
      <c r="V916" s="125"/>
      <c r="W916" s="125"/>
      <c r="X916" s="125"/>
      <c r="Y916" s="125"/>
      <c r="Z916" s="125"/>
    </row>
    <row r="917">
      <c r="A917" s="329"/>
      <c r="B917" s="119"/>
      <c r="C917" s="121" t="s">
        <v>7975</v>
      </c>
      <c r="D917" s="121"/>
      <c r="E917" s="122"/>
      <c r="F917" s="123">
        <f t="shared" si="1"/>
        <v>1</v>
      </c>
      <c r="G917" s="121"/>
      <c r="H917" s="12"/>
      <c r="I917" s="192"/>
      <c r="J917" s="192"/>
      <c r="K917" s="192"/>
      <c r="L917" s="121"/>
      <c r="M917" s="125"/>
      <c r="N917" s="122"/>
      <c r="O917" s="122" t="s">
        <v>7976</v>
      </c>
      <c r="P917" s="122"/>
      <c r="Q917" s="221"/>
      <c r="R917" s="125"/>
      <c r="S917" s="125"/>
      <c r="T917" s="125"/>
      <c r="U917" s="125"/>
      <c r="V917" s="125"/>
      <c r="W917" s="125"/>
      <c r="X917" s="125"/>
      <c r="Y917" s="125"/>
      <c r="Z917" s="125"/>
    </row>
    <row r="918">
      <c r="A918" s="329"/>
      <c r="B918" s="119"/>
      <c r="C918" s="121"/>
      <c r="D918" s="121"/>
      <c r="E918" s="122"/>
      <c r="F918" s="123">
        <f t="shared" si="1"/>
        <v>0</v>
      </c>
      <c r="G918" s="121"/>
      <c r="H918" s="12"/>
      <c r="I918" s="192"/>
      <c r="J918" s="192"/>
      <c r="K918" s="192"/>
      <c r="L918" s="121"/>
      <c r="M918" s="125"/>
      <c r="N918" s="122"/>
      <c r="O918" s="125"/>
      <c r="P918" s="122"/>
      <c r="Q918" s="221"/>
      <c r="R918" s="125"/>
      <c r="S918" s="125"/>
      <c r="T918" s="125"/>
      <c r="U918" s="125"/>
      <c r="V918" s="125"/>
      <c r="W918" s="125"/>
      <c r="X918" s="125"/>
      <c r="Y918" s="125"/>
      <c r="Z918" s="125"/>
    </row>
    <row r="919">
      <c r="A919" s="329"/>
      <c r="B919" s="119"/>
      <c r="C919" s="121"/>
      <c r="D919" s="121"/>
      <c r="E919" s="122"/>
      <c r="F919" s="123">
        <f t="shared" si="1"/>
        <v>0</v>
      </c>
      <c r="G919" s="121"/>
      <c r="H919" s="12"/>
      <c r="I919" s="192"/>
      <c r="J919" s="192"/>
      <c r="K919" s="192"/>
      <c r="L919" s="121"/>
      <c r="M919" s="125"/>
      <c r="N919" s="122"/>
      <c r="O919" s="125"/>
      <c r="P919" s="122"/>
      <c r="Q919" s="221"/>
      <c r="R919" s="125"/>
      <c r="S919" s="125"/>
      <c r="T919" s="125"/>
      <c r="U919" s="125"/>
      <c r="V919" s="125"/>
      <c r="W919" s="125"/>
      <c r="X919" s="125"/>
      <c r="Y919" s="125"/>
      <c r="Z919" s="125"/>
    </row>
    <row r="920">
      <c r="A920" s="329"/>
      <c r="B920" s="119"/>
      <c r="C920" s="121"/>
      <c r="D920" s="121"/>
      <c r="E920" s="122"/>
      <c r="F920" s="123">
        <f t="shared" si="1"/>
        <v>0</v>
      </c>
      <c r="G920" s="121"/>
      <c r="H920" s="12"/>
      <c r="I920" s="192"/>
      <c r="J920" s="192"/>
      <c r="K920" s="192"/>
      <c r="L920" s="121"/>
      <c r="M920" s="125"/>
      <c r="N920" s="122"/>
      <c r="O920" s="125"/>
      <c r="P920" s="122"/>
      <c r="Q920" s="221"/>
      <c r="R920" s="125"/>
      <c r="S920" s="125"/>
      <c r="T920" s="125"/>
      <c r="U920" s="125"/>
      <c r="V920" s="125"/>
      <c r="W920" s="125"/>
      <c r="X920" s="125"/>
      <c r="Y920" s="125"/>
      <c r="Z920" s="125"/>
    </row>
    <row r="921">
      <c r="A921" s="329"/>
      <c r="B921" s="119"/>
      <c r="C921" s="121"/>
      <c r="D921" s="121"/>
      <c r="E921" s="122"/>
      <c r="F921" s="123">
        <f t="shared" si="1"/>
        <v>0</v>
      </c>
      <c r="G921" s="121"/>
      <c r="H921" s="12"/>
      <c r="I921" s="192"/>
      <c r="J921" s="192"/>
      <c r="K921" s="192"/>
      <c r="L921" s="121"/>
      <c r="M921" s="125"/>
      <c r="N921" s="122"/>
      <c r="O921" s="125"/>
      <c r="P921" s="122"/>
      <c r="Q921" s="221"/>
      <c r="R921" s="125"/>
      <c r="S921" s="125"/>
      <c r="T921" s="125"/>
      <c r="U921" s="125"/>
      <c r="V921" s="125"/>
      <c r="W921" s="125"/>
      <c r="X921" s="125"/>
      <c r="Y921" s="125"/>
      <c r="Z921" s="125"/>
    </row>
    <row r="922">
      <c r="A922" s="329"/>
      <c r="B922" s="119"/>
      <c r="C922" s="121"/>
      <c r="D922" s="121"/>
      <c r="E922" s="122"/>
      <c r="F922" s="123">
        <f t="shared" si="1"/>
        <v>0</v>
      </c>
      <c r="G922" s="121"/>
      <c r="H922" s="12"/>
      <c r="I922" s="192"/>
      <c r="J922" s="192"/>
      <c r="K922" s="192"/>
      <c r="L922" s="121"/>
      <c r="M922" s="125"/>
      <c r="N922" s="122"/>
      <c r="O922" s="125"/>
      <c r="P922" s="122"/>
      <c r="Q922" s="221"/>
      <c r="R922" s="125"/>
      <c r="S922" s="125"/>
      <c r="T922" s="125"/>
      <c r="U922" s="125"/>
      <c r="V922" s="125"/>
      <c r="W922" s="125"/>
      <c r="X922" s="125"/>
      <c r="Y922" s="125"/>
      <c r="Z922" s="125"/>
    </row>
    <row r="923">
      <c r="A923" s="329"/>
      <c r="B923" s="119"/>
      <c r="C923" s="121"/>
      <c r="D923" s="121"/>
      <c r="E923" s="122"/>
      <c r="F923" s="123">
        <f t="shared" si="1"/>
        <v>0</v>
      </c>
      <c r="G923" s="121"/>
      <c r="H923" s="12"/>
      <c r="I923" s="192"/>
      <c r="J923" s="192"/>
      <c r="K923" s="192"/>
      <c r="L923" s="121"/>
      <c r="M923" s="125"/>
      <c r="N923" s="122"/>
      <c r="O923" s="125"/>
      <c r="P923" s="122"/>
      <c r="Q923" s="221"/>
      <c r="R923" s="125"/>
      <c r="S923" s="125"/>
      <c r="T923" s="125"/>
      <c r="U923" s="125"/>
      <c r="V923" s="125"/>
      <c r="W923" s="125"/>
      <c r="X923" s="125"/>
      <c r="Y923" s="125"/>
      <c r="Z923" s="125"/>
    </row>
    <row r="924">
      <c r="A924" s="329"/>
      <c r="B924" s="119"/>
      <c r="C924" s="121"/>
      <c r="D924" s="121"/>
      <c r="E924" s="122"/>
      <c r="F924" s="123">
        <f t="shared" si="1"/>
        <v>0</v>
      </c>
      <c r="G924" s="121"/>
      <c r="H924" s="12"/>
      <c r="I924" s="192"/>
      <c r="J924" s="192"/>
      <c r="K924" s="192"/>
      <c r="L924" s="121"/>
      <c r="M924" s="125"/>
      <c r="N924" s="122"/>
      <c r="O924" s="125"/>
      <c r="P924" s="122"/>
      <c r="Q924" s="221"/>
      <c r="R924" s="125"/>
      <c r="S924" s="125"/>
      <c r="T924" s="125"/>
      <c r="U924" s="125"/>
      <c r="V924" s="125"/>
      <c r="W924" s="125"/>
      <c r="X924" s="125"/>
      <c r="Y924" s="125"/>
      <c r="Z924" s="125"/>
    </row>
    <row r="925">
      <c r="A925" s="329"/>
      <c r="B925" s="119"/>
      <c r="C925" s="121"/>
      <c r="D925" s="121"/>
      <c r="E925" s="122"/>
      <c r="F925" s="123">
        <f t="shared" si="1"/>
        <v>0</v>
      </c>
      <c r="G925" s="121"/>
      <c r="H925" s="12"/>
      <c r="I925" s="192"/>
      <c r="J925" s="192"/>
      <c r="K925" s="192"/>
      <c r="L925" s="121"/>
      <c r="M925" s="125"/>
      <c r="N925" s="122"/>
      <c r="O925" s="125"/>
      <c r="P925" s="122"/>
      <c r="Q925" s="221"/>
      <c r="R925" s="125"/>
      <c r="S925" s="125"/>
      <c r="T925" s="125"/>
      <c r="U925" s="125"/>
      <c r="V925" s="125"/>
      <c r="W925" s="125"/>
      <c r="X925" s="125"/>
      <c r="Y925" s="125"/>
      <c r="Z925" s="125"/>
    </row>
    <row r="926">
      <c r="A926" s="329"/>
      <c r="B926" s="119" t="s">
        <v>2835</v>
      </c>
      <c r="C926" s="121" t="s">
        <v>3112</v>
      </c>
      <c r="D926" s="121" t="s">
        <v>40</v>
      </c>
      <c r="E926" s="122" t="s">
        <v>3113</v>
      </c>
      <c r="F926" s="123">
        <f t="shared" si="1"/>
        <v>1</v>
      </c>
      <c r="G926" s="121" t="s">
        <v>3114</v>
      </c>
      <c r="H926" s="12"/>
      <c r="I926" s="192" t="str">
        <f>IFERROR(__xludf.DUMMYFUNCTION("regexreplace(lower(C926), ""_"", """")"),"mrimrs")</f>
        <v>mrimrs</v>
      </c>
      <c r="J926" s="192" t="b">
        <f t="shared" ref="J926:J999" si="57">exact(I926, K926)</f>
        <v>1</v>
      </c>
      <c r="K926" s="192" t="str">
        <f>IFERROR(__xludf.DUMMYFUNCTION("regexreplace(G926, ""_"", """")"),"mrimrs")</f>
        <v>mrimrs</v>
      </c>
      <c r="L9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""$1$2"")"),"mri_mrs")</f>
        <v>mri_mrs</v>
      </c>
      <c r="M926" s="125"/>
      <c r="N926" s="122"/>
      <c r="O926" s="125"/>
      <c r="P926" s="122"/>
      <c r="Q926" s="221" t="s">
        <v>3115</v>
      </c>
      <c r="R926" s="125"/>
      <c r="S926" s="125"/>
      <c r="T926" s="125"/>
      <c r="U926" s="125"/>
      <c r="V926" s="125"/>
      <c r="W926" s="125"/>
      <c r="X926" s="125"/>
      <c r="Y926" s="125"/>
      <c r="Z926" s="125"/>
    </row>
    <row r="927">
      <c r="A927" s="329"/>
      <c r="B927" s="119" t="s">
        <v>2835</v>
      </c>
      <c r="C927" s="121" t="s">
        <v>3116</v>
      </c>
      <c r="D927" s="121" t="s">
        <v>40</v>
      </c>
      <c r="E927" s="122"/>
      <c r="F927" s="123">
        <f t="shared" si="1"/>
        <v>1</v>
      </c>
      <c r="G927" s="121" t="s">
        <v>3117</v>
      </c>
      <c r="H927" s="12"/>
      <c r="I927" s="192" t="str">
        <f>IFERROR(__xludf.DUMMYFUNCTION("regexreplace(lower(C927), ""_"", """")"),"mrimrsc")</f>
        <v>mrimrsc</v>
      </c>
      <c r="J927" s="192" t="b">
        <f t="shared" si="57"/>
        <v>1</v>
      </c>
      <c r="K927" s="192" t="str">
        <f>IFERROR(__xludf.DUMMYFUNCTION("regexreplace(G927, ""_"", """")"),"mrimrsc")</f>
        <v>mrimrsc</v>
      </c>
      <c r="L9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""$1$2"")"),"mri_mrs_c")</f>
        <v>mri_mrs_c</v>
      </c>
      <c r="M927" s="125"/>
      <c r="N927" s="122"/>
      <c r="O927" s="125"/>
      <c r="P927" s="122"/>
      <c r="Q927" s="221" t="s">
        <v>3118</v>
      </c>
      <c r="R927" s="125"/>
      <c r="S927" s="125"/>
      <c r="T927" s="125"/>
      <c r="U927" s="125"/>
      <c r="V927" s="125"/>
      <c r="W927" s="125"/>
      <c r="X927" s="125"/>
      <c r="Y927" s="125"/>
      <c r="Z927" s="125"/>
    </row>
    <row r="928">
      <c r="A928" s="329"/>
      <c r="B928" s="119" t="s">
        <v>2835</v>
      </c>
      <c r="C928" s="121" t="s">
        <v>3119</v>
      </c>
      <c r="D928" s="121" t="s">
        <v>40</v>
      </c>
      <c r="E928" s="122" t="s">
        <v>2567</v>
      </c>
      <c r="F928" s="123">
        <f t="shared" si="1"/>
        <v>2</v>
      </c>
      <c r="G928" s="121" t="s">
        <v>3120</v>
      </c>
      <c r="H928" s="12"/>
      <c r="I928" s="192" t="str">
        <f>IFERROR(__xludf.DUMMYFUNCTION("regexreplace(lower(C928), ""_"", """")"),"mriother")</f>
        <v>mriother</v>
      </c>
      <c r="J928" s="192" t="b">
        <f t="shared" si="57"/>
        <v>1</v>
      </c>
      <c r="K928" s="192" t="str">
        <f>IFERROR(__xludf.DUMMYFUNCTION("regexreplace(G928, ""_"", """")"),"mriother")</f>
        <v>mriother</v>
      </c>
      <c r="L9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""$1$2"")"),"mri_other")</f>
        <v>mri_other</v>
      </c>
      <c r="M928" s="125"/>
      <c r="N928" s="122"/>
      <c r="O928" s="125"/>
      <c r="P928" s="122" t="s">
        <v>3121</v>
      </c>
      <c r="Q928" s="221" t="s">
        <v>3122</v>
      </c>
      <c r="R928" s="125"/>
      <c r="S928" s="125"/>
      <c r="T928" s="125"/>
      <c r="U928" s="125"/>
      <c r="V928" s="125"/>
      <c r="W928" s="125"/>
      <c r="X928" s="125"/>
      <c r="Y928" s="125"/>
      <c r="Z928" s="125"/>
    </row>
    <row r="929">
      <c r="A929" s="329"/>
      <c r="B929" s="119" t="s">
        <v>2835</v>
      </c>
      <c r="C929" s="121" t="s">
        <v>3123</v>
      </c>
      <c r="D929" s="121" t="s">
        <v>40</v>
      </c>
      <c r="E929" s="125"/>
      <c r="F929" s="123">
        <f t="shared" si="1"/>
        <v>2</v>
      </c>
      <c r="G929" s="121" t="s">
        <v>3124</v>
      </c>
      <c r="H929" s="12"/>
      <c r="I929" s="192" t="str">
        <f>IFERROR(__xludf.DUMMYFUNCTION("regexreplace(lower(C929), ""_"", """")"),"mriotherc")</f>
        <v>mriotherc</v>
      </c>
      <c r="J929" s="192" t="b">
        <f t="shared" si="57"/>
        <v>1</v>
      </c>
      <c r="K929" s="192" t="str">
        <f>IFERROR(__xludf.DUMMYFUNCTION("regexreplace(G929, ""_"", """")"),"mriotherc")</f>
        <v>mriotherc</v>
      </c>
      <c r="L9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929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""$1$2"")"),"mri_other_c")</f>
        <v>mri_other_c</v>
      </c>
      <c r="M929" s="125"/>
      <c r="N929" s="122"/>
      <c r="O929" s="125"/>
      <c r="P929" s="122" t="s">
        <v>3125</v>
      </c>
      <c r="Q929" s="221" t="s">
        <v>3126</v>
      </c>
      <c r="R929" s="125"/>
      <c r="S929" s="125"/>
      <c r="T929" s="125"/>
      <c r="U929" s="125"/>
      <c r="V929" s="125"/>
      <c r="W929" s="125"/>
      <c r="X929" s="125"/>
      <c r="Y929" s="125"/>
      <c r="Z929" s="125"/>
    </row>
    <row r="930">
      <c r="A930" s="329"/>
      <c r="B930" s="119" t="s">
        <v>2835</v>
      </c>
      <c r="C930" s="121" t="s">
        <v>3127</v>
      </c>
      <c r="D930" s="121" t="s">
        <v>16</v>
      </c>
      <c r="E930" s="122" t="s">
        <v>3128</v>
      </c>
      <c r="F930" s="123">
        <f t="shared" si="1"/>
        <v>2</v>
      </c>
      <c r="G930" s="121" t="s">
        <v>3129</v>
      </c>
      <c r="H930" s="12"/>
      <c r="I930" s="192" t="str">
        <f>IFERROR(__xludf.DUMMYFUNCTION("regexreplace(lower(C930), ""_"", """")"),"mriothertext")</f>
        <v>mriothertext</v>
      </c>
      <c r="J930" s="192" t="b">
        <f t="shared" si="57"/>
        <v>1</v>
      </c>
      <c r="K930" s="192" t="str">
        <f>IFERROR(__xludf.DUMMYFUNCTION("regexreplace(G930, ""_"", """")"),"mriothertext")</f>
        <v>mriothertext</v>
      </c>
      <c r="L9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""$1$2"")"),"mri_other_text")</f>
        <v>mri_other_text</v>
      </c>
      <c r="M930" s="125"/>
      <c r="N930" s="122"/>
      <c r="O930" s="125"/>
      <c r="P930" s="122" t="s">
        <v>3130</v>
      </c>
      <c r="Q930" s="221" t="s">
        <v>3131</v>
      </c>
      <c r="R930" s="125"/>
      <c r="S930" s="125"/>
      <c r="T930" s="125"/>
      <c r="U930" s="125"/>
      <c r="V930" s="125"/>
      <c r="W930" s="125"/>
      <c r="X930" s="125"/>
      <c r="Y930" s="125"/>
      <c r="Z930" s="125"/>
    </row>
    <row r="931">
      <c r="A931" s="329"/>
      <c r="B931" s="119" t="s">
        <v>2835</v>
      </c>
      <c r="C931" s="121" t="s">
        <v>3132</v>
      </c>
      <c r="D931" s="121" t="s">
        <v>3132</v>
      </c>
      <c r="E931" s="122" t="s">
        <v>3133</v>
      </c>
      <c r="F931" s="123">
        <f t="shared" si="1"/>
        <v>2</v>
      </c>
      <c r="G931" s="121" t="s">
        <v>3134</v>
      </c>
      <c r="H931" s="12"/>
      <c r="I931" s="192" t="str">
        <f>IFERROR(__xludf.DUMMYFUNCTION("regexreplace(lower(C931), ""_"", """")"),"mrioveralldiagnosis")</f>
        <v>mrioveralldiagnosis</v>
      </c>
      <c r="J931" s="192" t="b">
        <f t="shared" si="57"/>
        <v>1</v>
      </c>
      <c r="K931" s="192" t="str">
        <f>IFERROR(__xludf.DUMMYFUNCTION("regexreplace(G931, ""_"", """")"),"mrioveralldiagnosis")</f>
        <v>mrioveralldiagnosis</v>
      </c>
      <c r="L9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""$1$2"")"),"mri_overall_diagnosis")</f>
        <v>mri_overall_diagnosis</v>
      </c>
      <c r="M931" s="125"/>
      <c r="N931" s="122"/>
      <c r="O931" s="125"/>
      <c r="P931" s="122" t="s">
        <v>3135</v>
      </c>
      <c r="Q931" s="221" t="s">
        <v>3136</v>
      </c>
      <c r="R931" s="125"/>
      <c r="S931" s="125"/>
      <c r="T931" s="125"/>
      <c r="U931" s="125"/>
      <c r="V931" s="125"/>
      <c r="W931" s="125"/>
      <c r="X931" s="125"/>
      <c r="Y931" s="125"/>
      <c r="Z931" s="125"/>
    </row>
    <row r="932">
      <c r="A932" s="329"/>
      <c r="B932" s="119" t="s">
        <v>2835</v>
      </c>
      <c r="C932" s="121" t="s">
        <v>3137</v>
      </c>
      <c r="D932" s="121" t="s">
        <v>31</v>
      </c>
      <c r="E932" s="125"/>
      <c r="F932" s="123">
        <f t="shared" si="1"/>
        <v>2</v>
      </c>
      <c r="G932" s="121" t="s">
        <v>3138</v>
      </c>
      <c r="H932" s="12"/>
      <c r="I932" s="192" t="str">
        <f>IFERROR(__xludf.DUMMYFUNCTION("regexreplace(lower(C932), ""_"", """")"),"mrioveralldiagnosisc")</f>
        <v>mrioveralldiagnosisc</v>
      </c>
      <c r="J932" s="192" t="b">
        <f t="shared" si="57"/>
        <v>1</v>
      </c>
      <c r="K932" s="192" t="str">
        <f>IFERROR(__xludf.DUMMYFUNCTION("regexreplace(G932, ""_"", """")"),"mrioveralldiagnosisc")</f>
        <v>mrioveralldiagnosisc</v>
      </c>
      <c r="L9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""$1$2"")"),"mri_overall_diagnosis_c")</f>
        <v>mri_overall_diagnosis_c</v>
      </c>
      <c r="M932" s="125"/>
      <c r="N932" s="122"/>
      <c r="O932" s="125"/>
      <c r="P932" s="122" t="s">
        <v>3139</v>
      </c>
      <c r="Q932" s="221" t="s">
        <v>3140</v>
      </c>
      <c r="R932" s="125"/>
      <c r="S932" s="125"/>
      <c r="T932" s="125"/>
      <c r="U932" s="125"/>
      <c r="V932" s="125"/>
      <c r="W932" s="125"/>
      <c r="X932" s="125"/>
      <c r="Y932" s="125"/>
      <c r="Z932" s="125"/>
    </row>
    <row r="933">
      <c r="A933" s="329"/>
      <c r="B933" s="119" t="s">
        <v>2835</v>
      </c>
      <c r="C933" s="121" t="s">
        <v>3141</v>
      </c>
      <c r="D933" s="121" t="s">
        <v>16</v>
      </c>
      <c r="E933" s="122" t="s">
        <v>3142</v>
      </c>
      <c r="F933" s="123">
        <f t="shared" si="1"/>
        <v>1</v>
      </c>
      <c r="G933" s="121" t="s">
        <v>3143</v>
      </c>
      <c r="H933" s="12"/>
      <c r="I933" s="192" t="str">
        <f>IFERROR(__xludf.DUMMYFUNCTION("regexreplace(lower(C933), ""_"", """")"),"mrioveralldiagnosistext")</f>
        <v>mrioveralldiagnosistext</v>
      </c>
      <c r="J933" s="192" t="b">
        <f t="shared" si="57"/>
        <v>1</v>
      </c>
      <c r="K933" s="192" t="str">
        <f>IFERROR(__xludf.DUMMYFUNCTION("regexreplace(G933, ""_"", """")"),"mrioveralldiagnosistext")</f>
        <v>mrioveralldiagnosistext</v>
      </c>
      <c r="L9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""$1$2"")"),"mri_overall_diagnosis_text")</f>
        <v>mri_overall_diagnosis_text</v>
      </c>
      <c r="M933" s="125"/>
      <c r="N933" s="122"/>
      <c r="O933" s="125"/>
      <c r="P933" s="122" t="s">
        <v>3144</v>
      </c>
      <c r="Q933" s="223"/>
      <c r="R933" s="125"/>
      <c r="S933" s="125"/>
      <c r="T933" s="125"/>
      <c r="U933" s="125"/>
      <c r="V933" s="125"/>
      <c r="W933" s="125"/>
      <c r="X933" s="125"/>
      <c r="Y933" s="125"/>
      <c r="Z933" s="125"/>
    </row>
    <row r="934">
      <c r="A934" s="329"/>
      <c r="B934" s="119" t="s">
        <v>2835</v>
      </c>
      <c r="C934" s="121" t="s">
        <v>3145</v>
      </c>
      <c r="D934" s="121" t="s">
        <v>40</v>
      </c>
      <c r="E934" s="122" t="s">
        <v>3146</v>
      </c>
      <c r="F934" s="123">
        <f t="shared" si="1"/>
        <v>2</v>
      </c>
      <c r="G934" s="121" t="s">
        <v>3147</v>
      </c>
      <c r="H934" s="12"/>
      <c r="I934" s="192" t="str">
        <f>IFERROR(__xludf.DUMMYFUNCTION("regexreplace(lower(C934), ""_"", """")"),"mriabnormal")</f>
        <v>mriabnormal</v>
      </c>
      <c r="J934" s="192" t="b">
        <f t="shared" si="57"/>
        <v>1</v>
      </c>
      <c r="K934" s="192" t="str">
        <f>IFERROR(__xludf.DUMMYFUNCTION("regexreplace(G934, ""_"", """")"),"mriabnormal")</f>
        <v>mriabnormal</v>
      </c>
      <c r="L9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""$1$2"")"),"mri_abnormal")</f>
        <v>mri_abnormal</v>
      </c>
      <c r="M934" s="125"/>
      <c r="N934" s="122"/>
      <c r="O934" s="125"/>
      <c r="P934" s="122" t="s">
        <v>3148</v>
      </c>
      <c r="Q934" s="221" t="s">
        <v>3149</v>
      </c>
      <c r="R934" s="125"/>
      <c r="S934" s="125"/>
      <c r="T934" s="125"/>
      <c r="U934" s="125"/>
      <c r="V934" s="125"/>
      <c r="W934" s="125"/>
      <c r="X934" s="125"/>
      <c r="Y934" s="125"/>
      <c r="Z934" s="125"/>
    </row>
    <row r="935">
      <c r="A935" s="329"/>
      <c r="B935" s="119" t="s">
        <v>2835</v>
      </c>
      <c r="C935" s="121" t="s">
        <v>3150</v>
      </c>
      <c r="D935" s="121" t="s">
        <v>40</v>
      </c>
      <c r="E935" s="125"/>
      <c r="F935" s="123">
        <f t="shared" si="1"/>
        <v>2</v>
      </c>
      <c r="G935" s="121" t="s">
        <v>3151</v>
      </c>
      <c r="H935" s="12"/>
      <c r="I935" s="192" t="str">
        <f>IFERROR(__xludf.DUMMYFUNCTION("regexreplace(lower(C935), ""_"", """")"),"mriabnormalc")</f>
        <v>mriabnormalc</v>
      </c>
      <c r="J935" s="192" t="b">
        <f t="shared" si="57"/>
        <v>1</v>
      </c>
      <c r="K935" s="192" t="str">
        <f>IFERROR(__xludf.DUMMYFUNCTION("regexreplace(G935, ""_"", """")"),"mriabnormalc")</f>
        <v>mriabnormalc</v>
      </c>
      <c r="L9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""$1$2"")"),"mri_abnormal_c")</f>
        <v>mri_abnormal_c</v>
      </c>
      <c r="M935" s="125"/>
      <c r="N935" s="122"/>
      <c r="O935" s="125"/>
      <c r="P935" s="122" t="s">
        <v>3152</v>
      </c>
      <c r="Q935" s="221" t="s">
        <v>3153</v>
      </c>
      <c r="R935" s="125"/>
      <c r="S935" s="125"/>
      <c r="T935" s="125"/>
      <c r="U935" s="125"/>
      <c r="V935" s="125"/>
      <c r="W935" s="125"/>
      <c r="X935" s="125"/>
      <c r="Y935" s="125"/>
      <c r="Z935" s="125"/>
    </row>
    <row r="936">
      <c r="A936" s="329"/>
      <c r="B936" s="119" t="s">
        <v>2835</v>
      </c>
      <c r="C936" s="121" t="s">
        <v>3154</v>
      </c>
      <c r="D936" s="121" t="s">
        <v>31</v>
      </c>
      <c r="E936" s="122" t="s">
        <v>3155</v>
      </c>
      <c r="F936" s="123">
        <f t="shared" si="1"/>
        <v>2</v>
      </c>
      <c r="G936" s="121" t="s">
        <v>3156</v>
      </c>
      <c r="H936" s="12" t="s">
        <v>3157</v>
      </c>
      <c r="I936" s="192" t="str">
        <f>IFERROR(__xludf.DUMMYFUNCTION("regexreplace(lower(C936), ""_"", """")"),"mrilesionnumber")</f>
        <v>mrilesionnumber</v>
      </c>
      <c r="J936" s="192" t="b">
        <f t="shared" si="57"/>
        <v>1</v>
      </c>
      <c r="K936" s="192" t="str">
        <f>IFERROR(__xludf.DUMMYFUNCTION("regexreplace(G936, ""_"", """")"),"mrilesionnumber")</f>
        <v>mrilesionnumber</v>
      </c>
      <c r="L9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""$1$2"")"),"mri_lesion_number")</f>
        <v>mri_lesion_number</v>
      </c>
      <c r="M936" s="125"/>
      <c r="N936" s="122"/>
      <c r="O936" s="125"/>
      <c r="P936" s="122" t="s">
        <v>3158</v>
      </c>
      <c r="Q936" s="221" t="s">
        <v>3159</v>
      </c>
      <c r="R936" s="125"/>
      <c r="S936" s="125"/>
      <c r="T936" s="125"/>
      <c r="U936" s="125"/>
      <c r="V936" s="125"/>
      <c r="W936" s="125"/>
      <c r="X936" s="125"/>
      <c r="Y936" s="125"/>
      <c r="Z936" s="125"/>
    </row>
    <row r="937">
      <c r="A937" s="329"/>
      <c r="B937" s="119" t="s">
        <v>2835</v>
      </c>
      <c r="C937" s="121" t="s">
        <v>3160</v>
      </c>
      <c r="D937" s="121" t="s">
        <v>40</v>
      </c>
      <c r="E937" s="122" t="s">
        <v>3161</v>
      </c>
      <c r="F937" s="123">
        <f t="shared" si="1"/>
        <v>2</v>
      </c>
      <c r="G937" s="121" t="s">
        <v>3162</v>
      </c>
      <c r="H937" s="12"/>
      <c r="I937" s="192" t="str">
        <f>IFERROR(__xludf.DUMMYFUNCTION("regexreplace(lower(C937), ""_"", """")"),"mrilesionhemisphere")</f>
        <v>mrilesionhemisphere</v>
      </c>
      <c r="J937" s="192" t="b">
        <f t="shared" si="57"/>
        <v>1</v>
      </c>
      <c r="K937" s="192" t="str">
        <f>IFERROR(__xludf.DUMMYFUNCTION("regexreplace(G937, ""_"", """")"),"mrilesionhemisphere")</f>
        <v>mrilesionhemisphere</v>
      </c>
      <c r="L9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""$1$2"")"),"mri_lesion_hemisphere")</f>
        <v>mri_lesion_hemisphere</v>
      </c>
      <c r="M937" s="125"/>
      <c r="N937" s="122"/>
      <c r="O937" s="125"/>
      <c r="P937" s="122" t="s">
        <v>3163</v>
      </c>
      <c r="Q937" s="221" t="s">
        <v>3164</v>
      </c>
      <c r="R937" s="125"/>
      <c r="S937" s="125"/>
      <c r="T937" s="125"/>
      <c r="U937" s="125"/>
      <c r="V937" s="125"/>
      <c r="W937" s="125"/>
      <c r="X937" s="125"/>
      <c r="Y937" s="125"/>
      <c r="Z937" s="125"/>
    </row>
    <row r="938">
      <c r="A938" s="329"/>
      <c r="B938" s="119" t="s">
        <v>2835</v>
      </c>
      <c r="C938" s="121" t="s">
        <v>3165</v>
      </c>
      <c r="D938" s="121" t="s">
        <v>40</v>
      </c>
      <c r="E938" s="125"/>
      <c r="F938" s="123">
        <f t="shared" si="1"/>
        <v>2</v>
      </c>
      <c r="G938" s="121" t="s">
        <v>3166</v>
      </c>
      <c r="H938" s="12"/>
      <c r="I938" s="192" t="str">
        <f>IFERROR(__xludf.DUMMYFUNCTION("regexreplace(lower(C938), ""_"", """")"),"mrilesionhemispherec")</f>
        <v>mrilesionhemispherec</v>
      </c>
      <c r="J938" s="192" t="b">
        <f t="shared" si="57"/>
        <v>1</v>
      </c>
      <c r="K938" s="192" t="str">
        <f>IFERROR(__xludf.DUMMYFUNCTION("regexreplace(G938, ""_"", """")"),"mrilesionhemispherec")</f>
        <v>mrilesionhemispherec</v>
      </c>
      <c r="L9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""$1$2"")"),"mri_lesion_hemisphere_c")</f>
        <v>mri_lesion_hemisphere_c</v>
      </c>
      <c r="M938" s="125"/>
      <c r="N938" s="122"/>
      <c r="O938" s="125"/>
      <c r="P938" s="122" t="s">
        <v>3167</v>
      </c>
      <c r="Q938" s="221" t="s">
        <v>3168</v>
      </c>
      <c r="R938" s="125"/>
      <c r="S938" s="125"/>
      <c r="T938" s="125"/>
      <c r="U938" s="125"/>
      <c r="V938" s="125"/>
      <c r="W938" s="125"/>
      <c r="X938" s="125"/>
      <c r="Y938" s="125"/>
      <c r="Z938" s="125"/>
    </row>
    <row r="939">
      <c r="A939" s="329"/>
      <c r="B939" s="119" t="s">
        <v>2835</v>
      </c>
      <c r="C939" s="121" t="s">
        <v>3169</v>
      </c>
      <c r="D939" s="121" t="s">
        <v>3170</v>
      </c>
      <c r="E939" s="122" t="s">
        <v>3171</v>
      </c>
      <c r="F939" s="123">
        <f t="shared" si="1"/>
        <v>2</v>
      </c>
      <c r="G939" s="121" t="s">
        <v>3172</v>
      </c>
      <c r="H939" s="12"/>
      <c r="I939" s="192" t="str">
        <f>IFERROR(__xludf.DUMMYFUNCTION("regexreplace(lower(C939), ""_"", """")"),"mriabnormalregion1")</f>
        <v>mriabnormalregion1</v>
      </c>
      <c r="J939" s="192" t="b">
        <f t="shared" si="57"/>
        <v>1</v>
      </c>
      <c r="K939" s="192" t="str">
        <f>IFERROR(__xludf.DUMMYFUNCTION("regexreplace(G939, ""_"", """")"),"mriabnormalregion1")</f>
        <v>mriabnormalregion1</v>
      </c>
      <c r="L9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939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""$1$2"")"),"mri_abnormal_region1")</f>
        <v>mri_abnormal_region1</v>
      </c>
      <c r="M939" s="125"/>
      <c r="N939" s="122"/>
      <c r="O939" s="125"/>
      <c r="P939" s="122" t="s">
        <v>3173</v>
      </c>
      <c r="Q939" s="221" t="s">
        <v>3174</v>
      </c>
      <c r="R939" s="125"/>
      <c r="S939" s="125"/>
      <c r="T939" s="125"/>
      <c r="U939" s="125"/>
      <c r="V939" s="125"/>
      <c r="W939" s="125"/>
      <c r="X939" s="125"/>
      <c r="Y939" s="125"/>
      <c r="Z939" s="125"/>
    </row>
    <row r="940">
      <c r="A940" s="329"/>
      <c r="B940" s="119" t="s">
        <v>2835</v>
      </c>
      <c r="C940" s="121" t="s">
        <v>3175</v>
      </c>
      <c r="D940" s="121" t="s">
        <v>3170</v>
      </c>
      <c r="E940" s="125"/>
      <c r="F940" s="123">
        <f t="shared" si="1"/>
        <v>2</v>
      </c>
      <c r="G940" s="121" t="s">
        <v>3176</v>
      </c>
      <c r="H940" s="12"/>
      <c r="I940" s="192" t="str">
        <f>IFERROR(__xludf.DUMMYFUNCTION("regexreplace(lower(C940), ""_"", """")"),"mriabnormalregion1c")</f>
        <v>mriabnormalregion1c</v>
      </c>
      <c r="J940" s="192" t="b">
        <f t="shared" si="57"/>
        <v>1</v>
      </c>
      <c r="K940" s="192" t="str">
        <f>IFERROR(__xludf.DUMMYFUNCTION("regexreplace(G940, ""_"", """")"),"mriabnormalregion1c")</f>
        <v>mriabnormalregion1c</v>
      </c>
      <c r="L9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""$1$2"")"),"mri_abnormal_region1c")</f>
        <v>mri_abnormal_region1c</v>
      </c>
      <c r="M940" s="125"/>
      <c r="N940" s="122"/>
      <c r="O940" s="125"/>
      <c r="P940" s="122" t="s">
        <v>3177</v>
      </c>
      <c r="Q940" s="221" t="s">
        <v>3178</v>
      </c>
      <c r="R940" s="125"/>
      <c r="S940" s="125"/>
      <c r="T940" s="125"/>
      <c r="U940" s="125"/>
      <c r="V940" s="125"/>
      <c r="W940" s="125"/>
      <c r="X940" s="125"/>
      <c r="Y940" s="125"/>
      <c r="Z940" s="125"/>
    </row>
    <row r="941">
      <c r="A941" s="329"/>
      <c r="B941" s="119" t="s">
        <v>2835</v>
      </c>
      <c r="C941" s="121" t="s">
        <v>3179</v>
      </c>
      <c r="D941" s="121" t="s">
        <v>3170</v>
      </c>
      <c r="E941" s="127" t="s">
        <v>3180</v>
      </c>
      <c r="F941" s="123">
        <f t="shared" si="1"/>
        <v>1</v>
      </c>
      <c r="G941" s="121" t="s">
        <v>3181</v>
      </c>
      <c r="H941" s="12"/>
      <c r="I941" s="192" t="str">
        <f>IFERROR(__xludf.DUMMYFUNCTION("regexreplace(lower(C941), ""_"", """")"),"mriabnormalregion2")</f>
        <v>mriabnormalregion2</v>
      </c>
      <c r="J941" s="192" t="b">
        <f t="shared" si="57"/>
        <v>1</v>
      </c>
      <c r="K941" s="192" t="str">
        <f>IFERROR(__xludf.DUMMYFUNCTION("regexreplace(G941, ""_"", """")"),"mriabnormalregion2")</f>
        <v>mriabnormalregion2</v>
      </c>
      <c r="L9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""$1$2"")"),"mri_abnormal_region2")</f>
        <v>mri_abnormal_region2</v>
      </c>
      <c r="M941" s="125"/>
      <c r="N941" s="122"/>
      <c r="O941" s="125"/>
      <c r="P941" s="122" t="s">
        <v>3182</v>
      </c>
      <c r="Q941" s="223"/>
      <c r="R941" s="125"/>
      <c r="S941" s="125"/>
      <c r="T941" s="125"/>
      <c r="U941" s="125"/>
      <c r="V941" s="125"/>
      <c r="W941" s="125"/>
      <c r="X941" s="125"/>
      <c r="Y941" s="125"/>
      <c r="Z941" s="125"/>
    </row>
    <row r="942">
      <c r="A942" s="329"/>
      <c r="B942" s="119" t="s">
        <v>2835</v>
      </c>
      <c r="C942" s="121" t="s">
        <v>3183</v>
      </c>
      <c r="D942" s="121" t="s">
        <v>3170</v>
      </c>
      <c r="E942" s="125"/>
      <c r="F942" s="123">
        <f t="shared" si="1"/>
        <v>1</v>
      </c>
      <c r="G942" s="121" t="s">
        <v>3184</v>
      </c>
      <c r="H942" s="12"/>
      <c r="I942" s="192" t="str">
        <f>IFERROR(__xludf.DUMMYFUNCTION("regexreplace(lower(C942), ""_"", """")"),"mriabnormalregion2c")</f>
        <v>mriabnormalregion2c</v>
      </c>
      <c r="J942" s="192" t="b">
        <f t="shared" si="57"/>
        <v>1</v>
      </c>
      <c r="K942" s="192" t="str">
        <f>IFERROR(__xludf.DUMMYFUNCTION("regexreplace(G942, ""_"", """")"),"mriabnormalregion2c")</f>
        <v>mriabnormalregion2c</v>
      </c>
      <c r="L9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""$1$2"")"),"mri_abnormal_region2c")</f>
        <v>mri_abnormal_region2c</v>
      </c>
      <c r="M942" s="125"/>
      <c r="N942" s="122"/>
      <c r="O942" s="125"/>
      <c r="P942" s="122" t="s">
        <v>3185</v>
      </c>
      <c r="Q942" s="223"/>
      <c r="R942" s="125"/>
      <c r="S942" s="125"/>
      <c r="T942" s="125"/>
      <c r="U942" s="125"/>
      <c r="V942" s="125"/>
      <c r="W942" s="125"/>
      <c r="X942" s="125"/>
      <c r="Y942" s="125"/>
      <c r="Z942" s="125"/>
    </row>
    <row r="943">
      <c r="A943" s="329"/>
      <c r="B943" s="119" t="s">
        <v>2835</v>
      </c>
      <c r="C943" s="121" t="s">
        <v>3186</v>
      </c>
      <c r="D943" s="121" t="s">
        <v>3170</v>
      </c>
      <c r="E943" s="127" t="s">
        <v>3187</v>
      </c>
      <c r="F943" s="123">
        <f t="shared" si="1"/>
        <v>1</v>
      </c>
      <c r="G943" s="121" t="s">
        <v>3188</v>
      </c>
      <c r="H943" s="12"/>
      <c r="I943" s="192" t="str">
        <f>IFERROR(__xludf.DUMMYFUNCTION("regexreplace(lower(C943), ""_"", """")"),"mriabnormalregion3")</f>
        <v>mriabnormalregion3</v>
      </c>
      <c r="J943" s="192" t="b">
        <f t="shared" si="57"/>
        <v>1</v>
      </c>
      <c r="K943" s="192" t="str">
        <f>IFERROR(__xludf.DUMMYFUNCTION("regexreplace(G943, ""_"", """")"),"mriabnormalregion3")</f>
        <v>mriabnormalregion3</v>
      </c>
      <c r="L9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""$1$2"")"),"mri_abnormal_region3")</f>
        <v>mri_abnormal_region3</v>
      </c>
      <c r="M943" s="125"/>
      <c r="N943" s="122"/>
      <c r="O943" s="125"/>
      <c r="P943" s="122" t="s">
        <v>3189</v>
      </c>
      <c r="Q943" s="223"/>
      <c r="R943" s="125"/>
      <c r="S943" s="125"/>
      <c r="T943" s="125"/>
      <c r="U943" s="125"/>
      <c r="V943" s="125"/>
      <c r="W943" s="125"/>
      <c r="X943" s="125"/>
      <c r="Y943" s="125"/>
      <c r="Z943" s="125"/>
    </row>
    <row r="944">
      <c r="A944" s="329"/>
      <c r="B944" s="119" t="s">
        <v>2835</v>
      </c>
      <c r="C944" s="121" t="s">
        <v>3190</v>
      </c>
      <c r="D944" s="121" t="s">
        <v>3170</v>
      </c>
      <c r="E944" s="125"/>
      <c r="F944" s="123">
        <f t="shared" si="1"/>
        <v>1</v>
      </c>
      <c r="G944" s="121" t="s">
        <v>3191</v>
      </c>
      <c r="H944" s="12"/>
      <c r="I944" s="192" t="str">
        <f>IFERROR(__xludf.DUMMYFUNCTION("regexreplace(lower(C944), ""_"", """")"),"mriabnormalregion3c")</f>
        <v>mriabnormalregion3c</v>
      </c>
      <c r="J944" s="192" t="b">
        <f t="shared" si="57"/>
        <v>1</v>
      </c>
      <c r="K944" s="192" t="str">
        <f>IFERROR(__xludf.DUMMYFUNCTION("regexreplace(G944, ""_"", """")"),"mriabnormalregion3c")</f>
        <v>mriabnormalregion3c</v>
      </c>
      <c r="L9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""$1$2"")"),"mri_abnormal_region3c")</f>
        <v>mri_abnormal_region3c</v>
      </c>
      <c r="M944" s="125"/>
      <c r="N944" s="122"/>
      <c r="O944" s="125"/>
      <c r="P944" s="122" t="s">
        <v>3192</v>
      </c>
      <c r="Q944" s="223"/>
      <c r="R944" s="125"/>
      <c r="S944" s="125"/>
      <c r="T944" s="125"/>
      <c r="U944" s="125"/>
      <c r="V944" s="125"/>
      <c r="W944" s="125"/>
      <c r="X944" s="125"/>
      <c r="Y944" s="125"/>
      <c r="Z944" s="125"/>
    </row>
    <row r="945">
      <c r="A945" s="329"/>
      <c r="B945" s="119" t="s">
        <v>2835</v>
      </c>
      <c r="C945" s="121" t="s">
        <v>3193</v>
      </c>
      <c r="D945" s="121" t="s">
        <v>3193</v>
      </c>
      <c r="E945" s="125"/>
      <c r="F945" s="123">
        <f t="shared" si="1"/>
        <v>2</v>
      </c>
      <c r="G945" s="121" t="s">
        <v>3194</v>
      </c>
      <c r="H945" s="12"/>
      <c r="I945" s="192" t="str">
        <f>IFERROR(__xludf.DUMMYFUNCTION("regexreplace(lower(C945), ""_"", """")"),"mriabnormalside")</f>
        <v>mriabnormalside</v>
      </c>
      <c r="J945" s="192" t="b">
        <f t="shared" si="57"/>
        <v>1</v>
      </c>
      <c r="K945" s="192" t="str">
        <f>IFERROR(__xludf.DUMMYFUNCTION("regexreplace(G945, ""_"", """")"),"mriabnormalside")</f>
        <v>mriabnormalside</v>
      </c>
      <c r="L9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""$1$2"")"),"mri_abnormal_side")</f>
        <v>mri_abnormal_side</v>
      </c>
      <c r="M945" s="125"/>
      <c r="N945" s="122"/>
      <c r="O945" s="125"/>
      <c r="P945" s="122" t="s">
        <v>3195</v>
      </c>
      <c r="Q945" s="221" t="s">
        <v>3196</v>
      </c>
      <c r="R945" s="125"/>
      <c r="S945" s="125"/>
      <c r="T945" s="125"/>
      <c r="U945" s="125"/>
      <c r="V945" s="125"/>
      <c r="W945" s="125"/>
      <c r="X945" s="125"/>
      <c r="Y945" s="125"/>
      <c r="Z945" s="125"/>
    </row>
    <row r="946">
      <c r="A946" s="329"/>
      <c r="B946" s="119" t="s">
        <v>2835</v>
      </c>
      <c r="C946" s="121" t="s">
        <v>3197</v>
      </c>
      <c r="D946" s="121" t="s">
        <v>3193</v>
      </c>
      <c r="E946" s="125"/>
      <c r="F946" s="123">
        <f t="shared" si="1"/>
        <v>2</v>
      </c>
      <c r="G946" s="121" t="s">
        <v>3198</v>
      </c>
      <c r="H946" s="12"/>
      <c r="I946" s="192" t="str">
        <f>IFERROR(__xludf.DUMMYFUNCTION("regexreplace(lower(C946), ""_"", """")"),"mriabnormalsidec")</f>
        <v>mriabnormalsidec</v>
      </c>
      <c r="J946" s="192" t="b">
        <f t="shared" si="57"/>
        <v>1</v>
      </c>
      <c r="K946" s="192" t="str">
        <f>IFERROR(__xludf.DUMMYFUNCTION("regexreplace(G946, ""_"", """")"),"mriabnormalsidec")</f>
        <v>mriabnormalsidec</v>
      </c>
      <c r="L9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""$1$2"")"),"mri_abnormal_side_c")</f>
        <v>mri_abnormal_side_c</v>
      </c>
      <c r="M946" s="125"/>
      <c r="N946" s="122"/>
      <c r="O946" s="125"/>
      <c r="P946" s="122" t="s">
        <v>3199</v>
      </c>
      <c r="Q946" s="221" t="s">
        <v>3200</v>
      </c>
      <c r="R946" s="125"/>
      <c r="S946" s="125"/>
      <c r="T946" s="125"/>
      <c r="U946" s="125"/>
      <c r="V946" s="125"/>
      <c r="W946" s="125"/>
      <c r="X946" s="125"/>
      <c r="Y946" s="125"/>
      <c r="Z946" s="125"/>
    </row>
    <row r="947">
      <c r="A947" s="329"/>
      <c r="B947" s="119" t="s">
        <v>2835</v>
      </c>
      <c r="C947" s="121" t="s">
        <v>3201</v>
      </c>
      <c r="D947" s="121" t="s">
        <v>3202</v>
      </c>
      <c r="E947" s="122" t="s">
        <v>3203</v>
      </c>
      <c r="F947" s="123">
        <f t="shared" si="1"/>
        <v>2</v>
      </c>
      <c r="G947" s="121" t="s">
        <v>3204</v>
      </c>
      <c r="H947" s="12"/>
      <c r="I947" s="192" t="str">
        <f>IFERROR(__xludf.DUMMYFUNCTION("regexreplace(lower(C947), ""_"", """")"),"mriabnormalgraymatterwhitematter")</f>
        <v>mriabnormalgraymatterwhitematter</v>
      </c>
      <c r="J947" s="192" t="b">
        <f t="shared" si="57"/>
        <v>1</v>
      </c>
      <c r="K947" s="192" t="str">
        <f>IFERROR(__xludf.DUMMYFUNCTION("regexreplace(G947, ""_"", """")"),"mriabnormalgraymatterwhitematter")</f>
        <v>mriabnormalgraymatterwhitematter</v>
      </c>
      <c r="L9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""$1$2"")"),"mri_abnormal_gray_matter_white_matter")</f>
        <v>mri_abnormal_gray_matter_white_matter</v>
      </c>
      <c r="M947" s="125"/>
      <c r="N947" s="122"/>
      <c r="O947" s="125"/>
      <c r="P947" s="122" t="s">
        <v>3205</v>
      </c>
      <c r="Q947" s="221" t="s">
        <v>3206</v>
      </c>
      <c r="R947" s="125"/>
      <c r="S947" s="125"/>
      <c r="T947" s="125"/>
      <c r="U947" s="125"/>
      <c r="V947" s="125"/>
      <c r="W947" s="125"/>
      <c r="X947" s="125"/>
      <c r="Y947" s="125"/>
      <c r="Z947" s="125"/>
    </row>
    <row r="948">
      <c r="A948" s="329"/>
      <c r="B948" s="119" t="s">
        <v>2835</v>
      </c>
      <c r="C948" s="121" t="s">
        <v>3207</v>
      </c>
      <c r="D948" s="121" t="s">
        <v>3202</v>
      </c>
      <c r="E948" s="125"/>
      <c r="F948" s="123">
        <f t="shared" si="1"/>
        <v>2</v>
      </c>
      <c r="G948" s="121" t="s">
        <v>3208</v>
      </c>
      <c r="H948" s="12"/>
      <c r="I948" s="192" t="str">
        <f>IFERROR(__xludf.DUMMYFUNCTION("regexreplace(lower(C948), ""_"", """")"),"mriabnormalgraymatterwhitematterc")</f>
        <v>mriabnormalgraymatterwhitematterc</v>
      </c>
      <c r="J948" s="192" t="b">
        <f t="shared" si="57"/>
        <v>1</v>
      </c>
      <c r="K948" s="192" t="str">
        <f>IFERROR(__xludf.DUMMYFUNCTION("regexreplace(G948, ""_"", """")"),"mriabnormalgraymatterwhitematterc")</f>
        <v>mriabnormalgraymatterwhitematterc</v>
      </c>
      <c r="L9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""$1$2"")"),"mri_abnormal_gray_matter_white_matter_c")</f>
        <v>mri_abnormal_gray_matter_white_matter_c</v>
      </c>
      <c r="M948" s="125"/>
      <c r="N948" s="122"/>
      <c r="O948" s="125"/>
      <c r="P948" s="122" t="s">
        <v>3209</v>
      </c>
      <c r="Q948" s="221" t="s">
        <v>3210</v>
      </c>
      <c r="R948" s="125"/>
      <c r="S948" s="125"/>
      <c r="T948" s="125"/>
      <c r="U948" s="125"/>
      <c r="V948" s="125"/>
      <c r="W948" s="125"/>
      <c r="X948" s="125"/>
      <c r="Y948" s="125"/>
      <c r="Z948" s="125"/>
    </row>
    <row r="949">
      <c r="A949" s="329"/>
      <c r="B949" s="119" t="s">
        <v>2835</v>
      </c>
      <c r="C949" s="121" t="s">
        <v>3211</v>
      </c>
      <c r="D949" s="121" t="s">
        <v>3212</v>
      </c>
      <c r="E949" s="122" t="s">
        <v>3213</v>
      </c>
      <c r="F949" s="123">
        <f t="shared" si="1"/>
        <v>2</v>
      </c>
      <c r="G949" s="121" t="s">
        <v>3214</v>
      </c>
      <c r="H949" s="12"/>
      <c r="I949" s="192" t="str">
        <f>IFERROR(__xludf.DUMMYFUNCTION("regexreplace(lower(C949), ""_"", """")"),"mriabnormalextent1")</f>
        <v>mriabnormalextent1</v>
      </c>
      <c r="J949" s="192" t="b">
        <f t="shared" si="57"/>
        <v>1</v>
      </c>
      <c r="K949" s="192" t="str">
        <f>IFERROR(__xludf.DUMMYFUNCTION("regexreplace(G949, ""_"", """")"),"mriabnormalextent1")</f>
        <v>mriabnormalextent1</v>
      </c>
      <c r="L9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949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""$1$2"")"),"mri_abnormal_extent1")</f>
        <v>mri_abnormal_extent1</v>
      </c>
      <c r="M949" s="125"/>
      <c r="N949" s="122"/>
      <c r="O949" s="125"/>
      <c r="P949" s="122" t="s">
        <v>3215</v>
      </c>
      <c r="Q949" s="221" t="s">
        <v>3216</v>
      </c>
      <c r="R949" s="125"/>
      <c r="S949" s="125"/>
      <c r="T949" s="125"/>
      <c r="U949" s="125"/>
      <c r="V949" s="125"/>
      <c r="W949" s="125"/>
      <c r="X949" s="125"/>
      <c r="Y949" s="125"/>
      <c r="Z949" s="125"/>
    </row>
    <row r="950">
      <c r="A950" s="329"/>
      <c r="B950" s="119" t="s">
        <v>2835</v>
      </c>
      <c r="C950" s="121" t="s">
        <v>3217</v>
      </c>
      <c r="D950" s="121" t="s">
        <v>3212</v>
      </c>
      <c r="E950" s="125"/>
      <c r="F950" s="123">
        <f t="shared" si="1"/>
        <v>2</v>
      </c>
      <c r="G950" s="121" t="s">
        <v>3218</v>
      </c>
      <c r="H950" s="12"/>
      <c r="I950" s="192" t="str">
        <f>IFERROR(__xludf.DUMMYFUNCTION("regexreplace(lower(C950), ""_"", """")"),"mriabnormalextent1c")</f>
        <v>mriabnormalextent1c</v>
      </c>
      <c r="J950" s="192" t="b">
        <f t="shared" si="57"/>
        <v>1</v>
      </c>
      <c r="K950" s="192" t="str">
        <f>IFERROR(__xludf.DUMMYFUNCTION("regexreplace(G950, ""_"", """")"),"mriabnormalextent1c")</f>
        <v>mriabnormalextent1c</v>
      </c>
      <c r="L9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""$1$2"")"),"mri_abnormal_extent1c")</f>
        <v>mri_abnormal_extent1c</v>
      </c>
      <c r="M950" s="125"/>
      <c r="N950" s="122"/>
      <c r="O950" s="125"/>
      <c r="P950" s="122" t="s">
        <v>3219</v>
      </c>
      <c r="Q950" s="221" t="s">
        <v>3220</v>
      </c>
      <c r="R950" s="125"/>
      <c r="S950" s="125"/>
      <c r="T950" s="125"/>
      <c r="U950" s="125"/>
      <c r="V950" s="125"/>
      <c r="W950" s="125"/>
      <c r="X950" s="125"/>
      <c r="Y950" s="125"/>
      <c r="Z950" s="125"/>
    </row>
    <row r="951">
      <c r="A951" s="329"/>
      <c r="B951" s="119" t="s">
        <v>2835</v>
      </c>
      <c r="C951" s="121" t="s">
        <v>3221</v>
      </c>
      <c r="D951" s="121" t="s">
        <v>3212</v>
      </c>
      <c r="E951" s="125"/>
      <c r="F951" s="123">
        <f t="shared" si="1"/>
        <v>1</v>
      </c>
      <c r="G951" s="121" t="s">
        <v>3222</v>
      </c>
      <c r="H951" s="12"/>
      <c r="I951" s="192" t="str">
        <f>IFERROR(__xludf.DUMMYFUNCTION("regexreplace(lower(C951), ""_"", """")"),"mriabnormalextent2")</f>
        <v>mriabnormalextent2</v>
      </c>
      <c r="J951" s="192" t="b">
        <f t="shared" si="57"/>
        <v>1</v>
      </c>
      <c r="K951" s="192" t="str">
        <f>IFERROR(__xludf.DUMMYFUNCTION("regexreplace(G951, ""_"", """")"),"mriabnormalextent2")</f>
        <v>mriabnormalextent2</v>
      </c>
      <c r="L9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""$1$2"")"),"mri_abnormal_extent2")</f>
        <v>mri_abnormal_extent2</v>
      </c>
      <c r="M951" s="125"/>
      <c r="N951" s="122"/>
      <c r="O951" s="125"/>
      <c r="P951" s="122" t="s">
        <v>3223</v>
      </c>
      <c r="Q951" s="223"/>
      <c r="R951" s="125"/>
      <c r="S951" s="125"/>
      <c r="T951" s="125"/>
      <c r="U951" s="125"/>
      <c r="V951" s="125"/>
      <c r="W951" s="125"/>
      <c r="X951" s="125"/>
      <c r="Y951" s="125"/>
      <c r="Z951" s="125"/>
    </row>
    <row r="952">
      <c r="A952" s="329"/>
      <c r="B952" s="119" t="s">
        <v>2835</v>
      </c>
      <c r="C952" s="121" t="s">
        <v>3224</v>
      </c>
      <c r="D952" s="121" t="s">
        <v>3212</v>
      </c>
      <c r="E952" s="125"/>
      <c r="F952" s="123">
        <f t="shared" si="1"/>
        <v>1</v>
      </c>
      <c r="G952" s="121" t="s">
        <v>3225</v>
      </c>
      <c r="H952" s="12"/>
      <c r="I952" s="192" t="str">
        <f>IFERROR(__xludf.DUMMYFUNCTION("regexreplace(lower(C952), ""_"", """")"),"mriabnormalextent2c")</f>
        <v>mriabnormalextent2c</v>
      </c>
      <c r="J952" s="192" t="b">
        <f t="shared" si="57"/>
        <v>1</v>
      </c>
      <c r="K952" s="192" t="str">
        <f>IFERROR(__xludf.DUMMYFUNCTION("regexreplace(G952, ""_"", """")"),"mriabnormalextent2c")</f>
        <v>mriabnormalextent2c</v>
      </c>
      <c r="L9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""$1$2"")"),"mri_abnormal_extent2c")</f>
        <v>mri_abnormal_extent2c</v>
      </c>
      <c r="M952" s="125"/>
      <c r="N952" s="122"/>
      <c r="O952" s="125"/>
      <c r="P952" s="122" t="s">
        <v>3226</v>
      </c>
      <c r="Q952" s="223"/>
      <c r="R952" s="125"/>
      <c r="S952" s="125"/>
      <c r="T952" s="125"/>
      <c r="U952" s="125"/>
      <c r="V952" s="125"/>
      <c r="W952" s="125"/>
      <c r="X952" s="125"/>
      <c r="Y952" s="125"/>
      <c r="Z952" s="125"/>
    </row>
    <row r="953">
      <c r="A953" s="329"/>
      <c r="B953" s="119" t="s">
        <v>2835</v>
      </c>
      <c r="C953" s="121" t="s">
        <v>3227</v>
      </c>
      <c r="D953" s="121" t="s">
        <v>3227</v>
      </c>
      <c r="E953" s="122" t="s">
        <v>3228</v>
      </c>
      <c r="F953" s="123">
        <f t="shared" si="1"/>
        <v>2</v>
      </c>
      <c r="G953" s="121" t="s">
        <v>3229</v>
      </c>
      <c r="H953" s="12"/>
      <c r="I953" s="192" t="str">
        <f>IFERROR(__xludf.DUMMYFUNCTION("regexreplace(lower(C953), ""_"", """")"),"mriabnormaltype")</f>
        <v>mriabnormaltype</v>
      </c>
      <c r="J953" s="192" t="b">
        <f t="shared" si="57"/>
        <v>1</v>
      </c>
      <c r="K953" s="192" t="str">
        <f>IFERROR(__xludf.DUMMYFUNCTION("regexreplace(G953, ""_"", """")"),"mriabnormaltype")</f>
        <v>mriabnormaltype</v>
      </c>
      <c r="L9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""$1$2"")"),"mri_abnormal_type")</f>
        <v>mri_abnormal_type</v>
      </c>
      <c r="M953" s="125"/>
      <c r="N953" s="122"/>
      <c r="O953" s="125"/>
      <c r="P953" s="122" t="s">
        <v>3230</v>
      </c>
      <c r="Q953" s="221" t="s">
        <v>3231</v>
      </c>
      <c r="R953" s="125"/>
      <c r="S953" s="125"/>
      <c r="T953" s="125"/>
      <c r="U953" s="125"/>
      <c r="V953" s="125"/>
      <c r="W953" s="125"/>
      <c r="X953" s="125"/>
      <c r="Y953" s="125"/>
      <c r="Z953" s="125"/>
    </row>
    <row r="954">
      <c r="A954" s="329"/>
      <c r="B954" s="119" t="s">
        <v>2835</v>
      </c>
      <c r="C954" s="121" t="s">
        <v>3232</v>
      </c>
      <c r="D954" s="121" t="s">
        <v>3227</v>
      </c>
      <c r="E954" s="125"/>
      <c r="F954" s="123">
        <f t="shared" si="1"/>
        <v>2</v>
      </c>
      <c r="G954" s="121" t="s">
        <v>3233</v>
      </c>
      <c r="H954" s="12"/>
      <c r="I954" s="192" t="str">
        <f>IFERROR(__xludf.DUMMYFUNCTION("regexreplace(lower(C954), ""_"", """")"),"mriabnormaltypec")</f>
        <v>mriabnormaltypec</v>
      </c>
      <c r="J954" s="192" t="b">
        <f t="shared" si="57"/>
        <v>1</v>
      </c>
      <c r="K954" s="192" t="str">
        <f>IFERROR(__xludf.DUMMYFUNCTION("regexreplace(G954, ""_"", """")"),"mriabnormaltypec")</f>
        <v>mriabnormaltypec</v>
      </c>
      <c r="L9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""$1$2"")"),"mri_abnormal_type_c")</f>
        <v>mri_abnormal_type_c</v>
      </c>
      <c r="M954" s="125"/>
      <c r="N954" s="122"/>
      <c r="O954" s="125"/>
      <c r="P954" s="122" t="s">
        <v>3234</v>
      </c>
      <c r="Q954" s="221" t="s">
        <v>3235</v>
      </c>
      <c r="R954" s="125"/>
      <c r="S954" s="125"/>
      <c r="T954" s="125"/>
      <c r="U954" s="125"/>
      <c r="V954" s="125"/>
      <c r="W954" s="125"/>
      <c r="X954" s="125"/>
      <c r="Y954" s="125"/>
      <c r="Z954" s="125"/>
    </row>
    <row r="955">
      <c r="A955" s="329"/>
      <c r="B955" s="119" t="s">
        <v>2835</v>
      </c>
      <c r="C955" s="121" t="s">
        <v>3236</v>
      </c>
      <c r="D955" s="121" t="s">
        <v>3227</v>
      </c>
      <c r="E955" s="125"/>
      <c r="F955" s="123">
        <f t="shared" si="1"/>
        <v>1</v>
      </c>
      <c r="G955" s="121" t="s">
        <v>3237</v>
      </c>
      <c r="H955" s="12"/>
      <c r="I955" s="192" t="str">
        <f>IFERROR(__xludf.DUMMYFUNCTION("regexreplace(lower(C955), ""_"", """")"),"mriabnormaltype2")</f>
        <v>mriabnormaltype2</v>
      </c>
      <c r="J955" s="192" t="b">
        <f t="shared" si="57"/>
        <v>1</v>
      </c>
      <c r="K955" s="192" t="str">
        <f>IFERROR(__xludf.DUMMYFUNCTION("regexreplace(G955, ""_"", """")"),"mriabnormaltype2")</f>
        <v>mriabnormaltype2</v>
      </c>
      <c r="L9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""$1$2"")"),"mri_abnormal_type2")</f>
        <v>mri_abnormal_type2</v>
      </c>
      <c r="M955" s="125"/>
      <c r="N955" s="122"/>
      <c r="O955" s="125"/>
      <c r="P955" s="122" t="s">
        <v>3238</v>
      </c>
      <c r="Q955" s="223"/>
      <c r="R955" s="125"/>
      <c r="S955" s="125"/>
      <c r="T955" s="125"/>
      <c r="U955" s="125"/>
      <c r="V955" s="125"/>
      <c r="W955" s="125"/>
      <c r="X955" s="125"/>
      <c r="Y955" s="125"/>
      <c r="Z955" s="125"/>
    </row>
    <row r="956">
      <c r="A956" s="329"/>
      <c r="B956" s="119" t="s">
        <v>2835</v>
      </c>
      <c r="C956" s="121" t="s">
        <v>3239</v>
      </c>
      <c r="D956" s="121" t="s">
        <v>3227</v>
      </c>
      <c r="E956" s="125"/>
      <c r="F956" s="123">
        <f t="shared" si="1"/>
        <v>1</v>
      </c>
      <c r="G956" s="121" t="s">
        <v>3240</v>
      </c>
      <c r="H956" s="12"/>
      <c r="I956" s="192" t="str">
        <f>IFERROR(__xludf.DUMMYFUNCTION("regexreplace(lower(C956), ""_"", """")"),"mriabnormaltype2c")</f>
        <v>mriabnormaltype2c</v>
      </c>
      <c r="J956" s="192" t="b">
        <f t="shared" si="57"/>
        <v>1</v>
      </c>
      <c r="K956" s="192" t="str">
        <f>IFERROR(__xludf.DUMMYFUNCTION("regexreplace(G956, ""_"", """")"),"mriabnormaltype2c")</f>
        <v>mriabnormaltype2c</v>
      </c>
      <c r="L9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""$1$2"")"),"mri_abnormal_type2c")</f>
        <v>mri_abnormal_type2c</v>
      </c>
      <c r="M956" s="125"/>
      <c r="N956" s="122"/>
      <c r="O956" s="125"/>
      <c r="P956" s="122" t="s">
        <v>3241</v>
      </c>
      <c r="Q956" s="223"/>
      <c r="R956" s="125"/>
      <c r="S956" s="125"/>
      <c r="T956" s="125"/>
      <c r="U956" s="125"/>
      <c r="V956" s="125"/>
      <c r="W956" s="125"/>
      <c r="X956" s="125"/>
      <c r="Y956" s="125"/>
      <c r="Z956" s="125"/>
    </row>
    <row r="957">
      <c r="A957" s="329"/>
      <c r="B957" s="119" t="s">
        <v>2835</v>
      </c>
      <c r="C957" s="121" t="s">
        <v>3242</v>
      </c>
      <c r="D957" s="121" t="s">
        <v>16</v>
      </c>
      <c r="E957" s="221" t="s">
        <v>3243</v>
      </c>
      <c r="F957" s="123">
        <f t="shared" si="1"/>
        <v>2</v>
      </c>
      <c r="G957" s="121" t="s">
        <v>3244</v>
      </c>
      <c r="H957" s="12"/>
      <c r="I957" s="192" t="str">
        <f>IFERROR(__xludf.DUMMYFUNCTION("regexreplace(lower(C957), ""_"", """")"),"mriabnormalcomment")</f>
        <v>mriabnormalcomment</v>
      </c>
      <c r="J957" s="192" t="b">
        <f t="shared" si="57"/>
        <v>1</v>
      </c>
      <c r="K957" s="192" t="str">
        <f>IFERROR(__xludf.DUMMYFUNCTION("regexreplace(G957, ""_"", """")"),"mriabnormalcomment")</f>
        <v>mriabnormalcomment</v>
      </c>
      <c r="L9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""$1$2"")"),"mri_abnormal_comment")</f>
        <v>mri_abnormal_comment</v>
      </c>
      <c r="M957" s="125"/>
      <c r="N957" s="221"/>
      <c r="O957" s="125"/>
      <c r="P957" s="221" t="s">
        <v>3245</v>
      </c>
      <c r="Q957" s="221" t="s">
        <v>3246</v>
      </c>
      <c r="R957" s="223"/>
      <c r="S957" s="223"/>
      <c r="T957" s="125"/>
      <c r="U957" s="125"/>
      <c r="V957" s="125"/>
      <c r="W957" s="125"/>
      <c r="X957" s="125"/>
      <c r="Y957" s="125"/>
      <c r="Z957" s="125"/>
    </row>
    <row r="958">
      <c r="A958" s="329"/>
      <c r="B958" s="119" t="s">
        <v>2835</v>
      </c>
      <c r="C958" s="121" t="s">
        <v>3247</v>
      </c>
      <c r="D958" s="121" t="s">
        <v>40</v>
      </c>
      <c r="E958" s="221" t="s">
        <v>3248</v>
      </c>
      <c r="F958" s="123">
        <f t="shared" si="1"/>
        <v>2</v>
      </c>
      <c r="G958" s="121" t="s">
        <v>7977</v>
      </c>
      <c r="H958" s="12"/>
      <c r="I958" s="192" t="str">
        <f>IFERROR(__xludf.DUMMYFUNCTION("regexreplace(lower(C958), ""_"", """")"),"mricerebralatrophy")</f>
        <v>mricerebralatrophy</v>
      </c>
      <c r="J958" s="192" t="b">
        <f t="shared" si="57"/>
        <v>0</v>
      </c>
      <c r="K958" s="192" t="str">
        <f>IFERROR(__xludf.DUMMYFUNCTION("regexreplace(G958, ""_"", """")"),"mricererbalatrophy")</f>
        <v>mricererbalatrophy</v>
      </c>
      <c r="L9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""$1$2"")"),"mri_cerebral_atrophy")</f>
        <v>mri_cerebral_atrophy</v>
      </c>
      <c r="M958" s="125"/>
      <c r="N958" s="221"/>
      <c r="O958" s="125"/>
      <c r="P958" s="221" t="s">
        <v>3250</v>
      </c>
      <c r="Q958" s="221" t="s">
        <v>3251</v>
      </c>
      <c r="R958" s="223"/>
      <c r="S958" s="223"/>
      <c r="T958" s="125"/>
      <c r="U958" s="125"/>
      <c r="V958" s="125"/>
      <c r="W958" s="125"/>
      <c r="X958" s="125"/>
      <c r="Y958" s="125"/>
      <c r="Z958" s="125"/>
    </row>
    <row r="959">
      <c r="A959" s="329"/>
      <c r="B959" s="119" t="s">
        <v>2835</v>
      </c>
      <c r="C959" s="121" t="s">
        <v>3252</v>
      </c>
      <c r="D959" s="121" t="s">
        <v>40</v>
      </c>
      <c r="E959" s="221"/>
      <c r="F959" s="123">
        <f t="shared" si="1"/>
        <v>2</v>
      </c>
      <c r="G959" s="121" t="s">
        <v>7978</v>
      </c>
      <c r="H959" s="12"/>
      <c r="I959" s="192" t="str">
        <f>IFERROR(__xludf.DUMMYFUNCTION("regexreplace(lower(C959), ""_"", """")"),"mricerebralatrophyc")</f>
        <v>mricerebralatrophyc</v>
      </c>
      <c r="J959" s="192" t="b">
        <f t="shared" si="57"/>
        <v>0</v>
      </c>
      <c r="K959" s="192" t="str">
        <f>IFERROR(__xludf.DUMMYFUNCTION("regexreplace(G959, ""_"", """")"),"mricererbalatrophyc")</f>
        <v>mricererbalatrophyc</v>
      </c>
      <c r="L9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959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""$1$2"")"),"mri_cerebral_atrophy_c")</f>
        <v>mri_cerebral_atrophy_c</v>
      </c>
      <c r="M959" s="125"/>
      <c r="N959" s="221"/>
      <c r="O959" s="125"/>
      <c r="P959" s="221" t="s">
        <v>3254</v>
      </c>
      <c r="Q959" s="221" t="s">
        <v>3255</v>
      </c>
      <c r="R959" s="223"/>
      <c r="S959" s="223"/>
      <c r="T959" s="125"/>
      <c r="U959" s="125"/>
      <c r="V959" s="125"/>
      <c r="W959" s="125"/>
      <c r="X959" s="125"/>
      <c r="Y959" s="125"/>
      <c r="Z959" s="125"/>
    </row>
    <row r="960">
      <c r="A960" s="329"/>
      <c r="B960" s="119" t="s">
        <v>2835</v>
      </c>
      <c r="C960" s="121" t="s">
        <v>3256</v>
      </c>
      <c r="D960" s="121" t="s">
        <v>3256</v>
      </c>
      <c r="E960" s="221"/>
      <c r="F960" s="123">
        <f t="shared" si="1"/>
        <v>1</v>
      </c>
      <c r="G960" s="121" t="s">
        <v>7979</v>
      </c>
      <c r="H960" s="12"/>
      <c r="I960" s="192" t="str">
        <f>IFERROR(__xludf.DUMMYFUNCTION("regexreplace(lower(C960), ""_"", """")"),"mricerebralatrophygloballocal")</f>
        <v>mricerebralatrophygloballocal</v>
      </c>
      <c r="J960" s="192" t="b">
        <f t="shared" si="57"/>
        <v>0</v>
      </c>
      <c r="K960" s="192" t="str">
        <f>IFERROR(__xludf.DUMMYFUNCTION("regexreplace(G960, ""_"", """")"),"mricererbalatrophygloballocal")</f>
        <v>mricererbalatrophygloballocal</v>
      </c>
      <c r="L9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""$1$2"")"),"mri_cerebral_atrophy_global_local")</f>
        <v>mri_cerebral_atrophy_global_local</v>
      </c>
      <c r="M960" s="125"/>
      <c r="N960" s="221"/>
      <c r="O960" s="125"/>
      <c r="P960" s="221"/>
      <c r="Q960" s="221" t="s">
        <v>3258</v>
      </c>
      <c r="R960" s="223"/>
      <c r="S960" s="223"/>
      <c r="T960" s="125"/>
      <c r="U960" s="125"/>
      <c r="V960" s="125"/>
      <c r="W960" s="125"/>
      <c r="X960" s="125"/>
      <c r="Y960" s="125"/>
      <c r="Z960" s="125"/>
    </row>
    <row r="961">
      <c r="A961" s="329"/>
      <c r="B961" s="119" t="s">
        <v>2835</v>
      </c>
      <c r="C961" s="121" t="s">
        <v>3259</v>
      </c>
      <c r="D961" s="121" t="s">
        <v>3256</v>
      </c>
      <c r="E961" s="221"/>
      <c r="F961" s="123">
        <f t="shared" si="1"/>
        <v>1</v>
      </c>
      <c r="G961" s="121" t="s">
        <v>7980</v>
      </c>
      <c r="H961" s="12"/>
      <c r="I961" s="192" t="str">
        <f>IFERROR(__xludf.DUMMYFUNCTION("regexreplace(lower(C961), ""_"", """")"),"mricerebralatrophygloballocalc")</f>
        <v>mricerebralatrophygloballocalc</v>
      </c>
      <c r="J961" s="192" t="b">
        <f t="shared" si="57"/>
        <v>0</v>
      </c>
      <c r="K961" s="192" t="str">
        <f>IFERROR(__xludf.DUMMYFUNCTION("regexreplace(G961, ""_"", """")"),"mricererbalatrophygloballocalc")</f>
        <v>mricererbalatrophygloballocalc</v>
      </c>
      <c r="L9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""$1$2"")"),"mri_cerebral_atrophy_global_local_c")</f>
        <v>mri_cerebral_atrophy_global_local_c</v>
      </c>
      <c r="M961" s="125"/>
      <c r="N961" s="221"/>
      <c r="O961" s="125"/>
      <c r="P961" s="221"/>
      <c r="Q961" s="221" t="s">
        <v>3261</v>
      </c>
      <c r="R961" s="223"/>
      <c r="S961" s="223"/>
      <c r="T961" s="125"/>
      <c r="U961" s="125"/>
      <c r="V961" s="125"/>
      <c r="W961" s="125"/>
      <c r="X961" s="125"/>
      <c r="Y961" s="125"/>
      <c r="Z961" s="125"/>
    </row>
    <row r="962">
      <c r="A962" s="329"/>
      <c r="B962" s="119" t="s">
        <v>2835</v>
      </c>
      <c r="C962" s="121" t="s">
        <v>3262</v>
      </c>
      <c r="D962" s="121" t="s">
        <v>3262</v>
      </c>
      <c r="E962" s="221"/>
      <c r="F962" s="123">
        <f t="shared" si="1"/>
        <v>2</v>
      </c>
      <c r="G962" s="121" t="s">
        <v>7981</v>
      </c>
      <c r="H962" s="12"/>
      <c r="I962" s="192" t="str">
        <f>IFERROR(__xludf.DUMMYFUNCTION("regexreplace(lower(C962), ""_"", """")"),"mricerebralatrophyregion")</f>
        <v>mricerebralatrophyregion</v>
      </c>
      <c r="J962" s="192" t="b">
        <f t="shared" si="57"/>
        <v>0</v>
      </c>
      <c r="K962" s="192" t="str">
        <f>IFERROR(__xludf.DUMMYFUNCTION("regexreplace(G962, ""_"", """")"),"mricererbalatrophyregion")</f>
        <v>mricererbalatrophyregion</v>
      </c>
      <c r="L9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""$1$2"")"),"mri_cerebral_atrophy_region")</f>
        <v>mri_cerebral_atrophy_region</v>
      </c>
      <c r="M962" s="125"/>
      <c r="N962" s="221"/>
      <c r="O962" s="125"/>
      <c r="P962" s="221" t="s">
        <v>3264</v>
      </c>
      <c r="Q962" s="221" t="s">
        <v>3265</v>
      </c>
      <c r="R962" s="223"/>
      <c r="S962" s="223"/>
      <c r="T962" s="125"/>
      <c r="U962" s="125"/>
      <c r="V962" s="125"/>
      <c r="W962" s="125"/>
      <c r="X962" s="125"/>
      <c r="Y962" s="125"/>
      <c r="Z962" s="125"/>
    </row>
    <row r="963">
      <c r="A963" s="329"/>
      <c r="B963" s="119" t="s">
        <v>2835</v>
      </c>
      <c r="C963" s="121" t="s">
        <v>3266</v>
      </c>
      <c r="D963" s="121" t="s">
        <v>3267</v>
      </c>
      <c r="E963" s="221" t="s">
        <v>3268</v>
      </c>
      <c r="F963" s="123">
        <f t="shared" si="1"/>
        <v>2</v>
      </c>
      <c r="G963" s="121" t="s">
        <v>7982</v>
      </c>
      <c r="H963" s="12"/>
      <c r="I963" s="192" t="str">
        <f>IFERROR(__xludf.DUMMYFUNCTION("regexreplace(lower(C963), ""_"", """")"),"mricerebralatrophyqualassesscc")</f>
        <v>mricerebralatrophyqualassesscc</v>
      </c>
      <c r="J963" s="192" t="b">
        <f t="shared" si="57"/>
        <v>0</v>
      </c>
      <c r="K963" s="192" t="str">
        <f>IFERROR(__xludf.DUMMYFUNCTION("regexreplace(G963, ""_"", """")"),"mricererbalatrophyqualassesscc")</f>
        <v>mricererbalatrophyqualassesscc</v>
      </c>
      <c r="L9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""$1$2"")"),"mri_cerebral_atrophy_qual_assess_c_c")</f>
        <v>mri_cerebral_atrophy_qual_assess_c_c</v>
      </c>
      <c r="M963" s="125"/>
      <c r="N963" s="221"/>
      <c r="O963" s="125"/>
      <c r="P963" s="221" t="s">
        <v>3270</v>
      </c>
      <c r="Q963" s="221" t="s">
        <v>3271</v>
      </c>
      <c r="R963" s="223"/>
      <c r="S963" s="223"/>
      <c r="T963" s="125"/>
      <c r="U963" s="125"/>
      <c r="V963" s="125"/>
      <c r="W963" s="125"/>
      <c r="X963" s="125"/>
      <c r="Y963" s="125"/>
      <c r="Z963" s="125"/>
    </row>
    <row r="964">
      <c r="A964" s="329"/>
      <c r="B964" s="119" t="s">
        <v>2835</v>
      </c>
      <c r="C964" s="121" t="s">
        <v>3272</v>
      </c>
      <c r="D964" s="121" t="s">
        <v>3267</v>
      </c>
      <c r="E964" s="221"/>
      <c r="F964" s="123">
        <f t="shared" si="1"/>
        <v>2</v>
      </c>
      <c r="G964" s="121" t="s">
        <v>7983</v>
      </c>
      <c r="H964" s="12"/>
      <c r="I964" s="192" t="str">
        <f>IFERROR(__xludf.DUMMYFUNCTION("regexreplace(lower(C964), ""_"", """")"),"mricerebralatrophyqualassessccc")</f>
        <v>mricerebralatrophyqualassessccc</v>
      </c>
      <c r="J964" s="192" t="b">
        <f t="shared" si="57"/>
        <v>0</v>
      </c>
      <c r="K964" s="192" t="str">
        <f>IFERROR(__xludf.DUMMYFUNCTION("regexreplace(G964, ""_"", """")"),"mricererbalatrophyqualassessccc")</f>
        <v>mricererbalatrophyqualassessccc</v>
      </c>
      <c r="L9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""$1$2"")"),"mri_cerebral_atrophy_qual_assess_c_c_c")</f>
        <v>mri_cerebral_atrophy_qual_assess_c_c_c</v>
      </c>
      <c r="M964" s="125"/>
      <c r="N964" s="221"/>
      <c r="O964" s="125"/>
      <c r="P964" s="221" t="s">
        <v>3274</v>
      </c>
      <c r="Q964" s="221" t="s">
        <v>3275</v>
      </c>
      <c r="R964" s="223"/>
      <c r="S964" s="223"/>
      <c r="T964" s="125"/>
      <c r="U964" s="125"/>
      <c r="V964" s="125"/>
      <c r="W964" s="125"/>
      <c r="X964" s="125"/>
      <c r="Y964" s="125"/>
      <c r="Z964" s="125"/>
    </row>
    <row r="965">
      <c r="A965" s="329"/>
      <c r="B965" s="119" t="s">
        <v>2835</v>
      </c>
      <c r="C965" s="121" t="s">
        <v>3276</v>
      </c>
      <c r="D965" s="121" t="s">
        <v>3267</v>
      </c>
      <c r="E965" s="221" t="s">
        <v>3277</v>
      </c>
      <c r="F965" s="123">
        <f t="shared" si="1"/>
        <v>2</v>
      </c>
      <c r="G965" s="121" t="s">
        <v>7984</v>
      </c>
      <c r="H965" s="12"/>
      <c r="I965" s="192" t="str">
        <f>IFERROR(__xludf.DUMMYFUNCTION("regexreplace(lower(C965), ""_"", """")"),"mricerebralatrophyqualassessvdleft")</f>
        <v>mricerebralatrophyqualassessvdleft</v>
      </c>
      <c r="J965" s="192" t="b">
        <f t="shared" si="57"/>
        <v>0</v>
      </c>
      <c r="K965" s="192" t="str">
        <f>IFERROR(__xludf.DUMMYFUNCTION("regexreplace(G965, ""_"", """")"),"mricererbalatrophyqualassessvdleft")</f>
        <v>mricererbalatrophyqualassessvdleft</v>
      </c>
      <c r="L9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""$1$2"")"),"mri_cerebral_atrophy_qual_assess_v_d_left")</f>
        <v>mri_cerebral_atrophy_qual_assess_v_d_left</v>
      </c>
      <c r="M965" s="125"/>
      <c r="N965" s="221"/>
      <c r="O965" s="125"/>
      <c r="P965" s="221" t="s">
        <v>3279</v>
      </c>
      <c r="Q965" s="221" t="s">
        <v>3280</v>
      </c>
      <c r="R965" s="223"/>
      <c r="S965" s="223"/>
      <c r="T965" s="125"/>
      <c r="U965" s="125"/>
      <c r="V965" s="125"/>
      <c r="W965" s="125"/>
      <c r="X965" s="125"/>
      <c r="Y965" s="125"/>
      <c r="Z965" s="125"/>
    </row>
    <row r="966">
      <c r="A966" s="329"/>
      <c r="B966" s="119" t="s">
        <v>2835</v>
      </c>
      <c r="C966" s="121" t="s">
        <v>3281</v>
      </c>
      <c r="D966" s="121" t="s">
        <v>3267</v>
      </c>
      <c r="E966" s="221"/>
      <c r="F966" s="123">
        <f t="shared" si="1"/>
        <v>2</v>
      </c>
      <c r="G966" s="121" t="s">
        <v>7985</v>
      </c>
      <c r="H966" s="12"/>
      <c r="I966" s="192" t="str">
        <f>IFERROR(__xludf.DUMMYFUNCTION("regexreplace(lower(C966), ""_"", """")"),"mricerebralatrophyqualassessvdleftc")</f>
        <v>mricerebralatrophyqualassessvdleftc</v>
      </c>
      <c r="J966" s="192" t="b">
        <f t="shared" si="57"/>
        <v>0</v>
      </c>
      <c r="K966" s="192" t="str">
        <f>IFERROR(__xludf.DUMMYFUNCTION("regexreplace(G966, ""_"", """")"),"mricererbalatrophyqualassessvdleftc")</f>
        <v>mricererbalatrophyqualassessvdleftc</v>
      </c>
      <c r="L9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""$1$2"")"),"mri_cerebral_atrophy_qual_assess_v_d_left_c")</f>
        <v>mri_cerebral_atrophy_qual_assess_v_d_left_c</v>
      </c>
      <c r="M966" s="125"/>
      <c r="N966" s="221"/>
      <c r="O966" s="125"/>
      <c r="P966" s="221" t="s">
        <v>3283</v>
      </c>
      <c r="Q966" s="221" t="s">
        <v>3284</v>
      </c>
      <c r="R966" s="223"/>
      <c r="S966" s="223"/>
      <c r="T966" s="125"/>
      <c r="U966" s="125"/>
      <c r="V966" s="125"/>
      <c r="W966" s="125"/>
      <c r="X966" s="125"/>
      <c r="Y966" s="125"/>
      <c r="Z966" s="125"/>
    </row>
    <row r="967">
      <c r="A967" s="329"/>
      <c r="B967" s="119" t="s">
        <v>2835</v>
      </c>
      <c r="C967" s="121" t="s">
        <v>3285</v>
      </c>
      <c r="D967" s="121" t="s">
        <v>3267</v>
      </c>
      <c r="E967" s="221" t="s">
        <v>3286</v>
      </c>
      <c r="F967" s="123">
        <f t="shared" si="1"/>
        <v>2</v>
      </c>
      <c r="G967" s="121" t="s">
        <v>7986</v>
      </c>
      <c r="H967" s="12"/>
      <c r="I967" s="192" t="str">
        <f>IFERROR(__xludf.DUMMYFUNCTION("regexreplace(lower(C967), ""_"", """")"),"mricerebralatrophyqualassessvdright")</f>
        <v>mricerebralatrophyqualassessvdright</v>
      </c>
      <c r="J967" s="192" t="b">
        <f t="shared" si="57"/>
        <v>0</v>
      </c>
      <c r="K967" s="192" t="str">
        <f>IFERROR(__xludf.DUMMYFUNCTION("regexreplace(G967, ""_"", """")"),"mricererbalatrophyqualassessvdright")</f>
        <v>mricererbalatrophyqualassessvdright</v>
      </c>
      <c r="L9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""$1$2"")"),"mri_cerebral_atrophy_qual_assess_v_d_right")</f>
        <v>mri_cerebral_atrophy_qual_assess_v_d_right</v>
      </c>
      <c r="M967" s="125"/>
      <c r="N967" s="221"/>
      <c r="O967" s="125"/>
      <c r="P967" s="221" t="s">
        <v>3288</v>
      </c>
      <c r="Q967" s="221" t="s">
        <v>3289</v>
      </c>
      <c r="R967" s="223"/>
      <c r="S967" s="223"/>
      <c r="T967" s="125"/>
      <c r="U967" s="125"/>
      <c r="V967" s="125"/>
      <c r="W967" s="125"/>
      <c r="X967" s="125"/>
      <c r="Y967" s="125"/>
      <c r="Z967" s="125"/>
    </row>
    <row r="968">
      <c r="A968" s="329"/>
      <c r="B968" s="119" t="s">
        <v>2835</v>
      </c>
      <c r="C968" s="121" t="s">
        <v>3290</v>
      </c>
      <c r="D968" s="121" t="s">
        <v>3267</v>
      </c>
      <c r="E968" s="221"/>
      <c r="F968" s="123">
        <f t="shared" si="1"/>
        <v>2</v>
      </c>
      <c r="G968" s="121" t="s">
        <v>7987</v>
      </c>
      <c r="H968" s="12"/>
      <c r="I968" s="192" t="str">
        <f>IFERROR(__xludf.DUMMYFUNCTION("regexreplace(lower(C968), ""_"", """")"),"mricerebralatrophyqualassessvdrightc")</f>
        <v>mricerebralatrophyqualassessvdrightc</v>
      </c>
      <c r="J968" s="192" t="b">
        <f t="shared" si="57"/>
        <v>0</v>
      </c>
      <c r="K968" s="192" t="str">
        <f>IFERROR(__xludf.DUMMYFUNCTION("regexreplace(G968, ""_"", """")"),"mricererbalatrophyqualassessvdrightc")</f>
        <v>mricererbalatrophyqualassessvdrightc</v>
      </c>
      <c r="L9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""$1$2"")"),"mri_cerebral_atrophy_qual_assess_v_d_right_c")</f>
        <v>mri_cerebral_atrophy_qual_assess_v_d_right_c</v>
      </c>
      <c r="M968" s="125"/>
      <c r="N968" s="221"/>
      <c r="O968" s="125"/>
      <c r="P968" s="221" t="s">
        <v>3292</v>
      </c>
      <c r="Q968" s="221" t="s">
        <v>3293</v>
      </c>
      <c r="R968" s="223"/>
      <c r="S968" s="223"/>
      <c r="T968" s="125"/>
      <c r="U968" s="125"/>
      <c r="V968" s="125"/>
      <c r="W968" s="125"/>
      <c r="X968" s="125"/>
      <c r="Y968" s="125"/>
      <c r="Z968" s="125"/>
    </row>
    <row r="969">
      <c r="A969" s="329"/>
      <c r="B969" s="119" t="s">
        <v>2835</v>
      </c>
      <c r="C969" s="121" t="s">
        <v>3294</v>
      </c>
      <c r="D969" s="121" t="s">
        <v>40</v>
      </c>
      <c r="E969" s="221" t="s">
        <v>3295</v>
      </c>
      <c r="F969" s="123">
        <f t="shared" si="1"/>
        <v>2</v>
      </c>
      <c r="G969" s="121" t="s">
        <v>3296</v>
      </c>
      <c r="H969" s="12"/>
      <c r="I969" s="192" t="str">
        <f>IFERROR(__xludf.DUMMYFUNCTION("regexreplace(lower(C969), ""_"", """")"),"mriinfarction")</f>
        <v>mriinfarction</v>
      </c>
      <c r="J969" s="192" t="b">
        <f t="shared" si="57"/>
        <v>1</v>
      </c>
      <c r="K969" s="192" t="str">
        <f>IFERROR(__xludf.DUMMYFUNCTION("regexreplace(G969, ""_"", """")"),"mriinfarction")</f>
        <v>mriinfarction</v>
      </c>
      <c r="L9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969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""$1$2"")"),"mri_infarction")</f>
        <v>mri_infarction</v>
      </c>
      <c r="M969" s="125"/>
      <c r="N969" s="221"/>
      <c r="O969" s="125"/>
      <c r="P969" s="221" t="s">
        <v>3297</v>
      </c>
      <c r="Q969" s="221" t="s">
        <v>3298</v>
      </c>
      <c r="R969" s="223"/>
      <c r="S969" s="223"/>
      <c r="T969" s="125"/>
      <c r="U969" s="125"/>
      <c r="V969" s="125"/>
      <c r="W969" s="125"/>
      <c r="X969" s="125"/>
      <c r="Y969" s="125"/>
      <c r="Z969" s="125"/>
    </row>
    <row r="970">
      <c r="A970" s="329"/>
      <c r="B970" s="119" t="s">
        <v>2835</v>
      </c>
      <c r="C970" s="121" t="s">
        <v>3299</v>
      </c>
      <c r="D970" s="121" t="s">
        <v>40</v>
      </c>
      <c r="E970" s="221"/>
      <c r="F970" s="123">
        <f t="shared" si="1"/>
        <v>2</v>
      </c>
      <c r="G970" s="121" t="s">
        <v>3300</v>
      </c>
      <c r="H970" s="12"/>
      <c r="I970" s="192" t="str">
        <f>IFERROR(__xludf.DUMMYFUNCTION("regexreplace(lower(C970), ""_"", """")"),"mriinfarctionc")</f>
        <v>mriinfarctionc</v>
      </c>
      <c r="J970" s="192" t="b">
        <f t="shared" si="57"/>
        <v>1</v>
      </c>
      <c r="K970" s="192" t="str">
        <f>IFERROR(__xludf.DUMMYFUNCTION("regexreplace(G970, ""_"", """")"),"mriinfarctionc")</f>
        <v>mriinfarctionc</v>
      </c>
      <c r="L9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""$1$2"")"),"mri_infarction_c")</f>
        <v>mri_infarction_c</v>
      </c>
      <c r="M970" s="125"/>
      <c r="N970" s="122"/>
      <c r="O970" s="125"/>
      <c r="P970" s="122" t="s">
        <v>3301</v>
      </c>
      <c r="Q970" s="221" t="s">
        <v>3302</v>
      </c>
      <c r="R970" s="223"/>
      <c r="S970" s="223"/>
      <c r="T970" s="125"/>
      <c r="U970" s="125"/>
      <c r="V970" s="125"/>
      <c r="W970" s="125"/>
      <c r="X970" s="125"/>
      <c r="Y970" s="125"/>
      <c r="Z970" s="125"/>
    </row>
    <row r="971">
      <c r="A971" s="329"/>
      <c r="B971" s="119" t="s">
        <v>2835</v>
      </c>
      <c r="C971" s="121" t="s">
        <v>3303</v>
      </c>
      <c r="D971" s="121" t="s">
        <v>40</v>
      </c>
      <c r="E971" s="221" t="s">
        <v>3304</v>
      </c>
      <c r="F971" s="123">
        <f t="shared" si="1"/>
        <v>2</v>
      </c>
      <c r="G971" s="121" t="s">
        <v>3305</v>
      </c>
      <c r="H971" s="12"/>
      <c r="I971" s="192" t="str">
        <f>IFERROR(__xludf.DUMMYFUNCTION("regexreplace(lower(C971), ""_"", """")"),"mriinfarctionaterialterritoryleft")</f>
        <v>mriinfarctionaterialterritoryleft</v>
      </c>
      <c r="J971" s="192" t="b">
        <f t="shared" si="57"/>
        <v>1</v>
      </c>
      <c r="K971" s="192" t="str">
        <f>IFERROR(__xludf.DUMMYFUNCTION("regexreplace(G971, ""_"", """")"),"mriinfarctionaterialterritoryleft")</f>
        <v>mriinfarctionaterialterritoryleft</v>
      </c>
      <c r="L9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""$1$2"")"),"mri_infarction_aterial_territory_left")</f>
        <v>mri_infarction_aterial_territory_left</v>
      </c>
      <c r="M971" s="125"/>
      <c r="N971" s="221"/>
      <c r="O971" s="125"/>
      <c r="P971" s="221" t="s">
        <v>3306</v>
      </c>
      <c r="Q971" s="221" t="s">
        <v>3307</v>
      </c>
      <c r="R971" s="223"/>
      <c r="S971" s="223"/>
      <c r="T971" s="125"/>
      <c r="U971" s="125"/>
      <c r="V971" s="125"/>
      <c r="W971" s="125"/>
      <c r="X971" s="125"/>
      <c r="Y971" s="125"/>
      <c r="Z971" s="125"/>
    </row>
    <row r="972">
      <c r="A972" s="329"/>
      <c r="B972" s="119" t="s">
        <v>2835</v>
      </c>
      <c r="C972" s="121" t="s">
        <v>3308</v>
      </c>
      <c r="D972" s="121" t="s">
        <v>40</v>
      </c>
      <c r="E972" s="221"/>
      <c r="F972" s="123">
        <f t="shared" si="1"/>
        <v>1</v>
      </c>
      <c r="G972" s="121" t="s">
        <v>3309</v>
      </c>
      <c r="H972" s="12"/>
      <c r="I972" s="192" t="str">
        <f>IFERROR(__xludf.DUMMYFUNCTION("regexreplace(lower(C972), ""_"", """")"),"mriinfarctionaterialterritoryleftc")</f>
        <v>mriinfarctionaterialterritoryleftc</v>
      </c>
      <c r="J972" s="192" t="b">
        <f t="shared" si="57"/>
        <v>1</v>
      </c>
      <c r="K972" s="192" t="str">
        <f>IFERROR(__xludf.DUMMYFUNCTION("regexreplace(G972, ""_"", """")"),"mriinfarctionaterialterritoryleftc")</f>
        <v>mriinfarctionaterialterritoryleftc</v>
      </c>
      <c r="L9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""$1$2"")"),"mri_infarction_aterial_territory_left_c")</f>
        <v>mri_infarction_aterial_territory_left_c</v>
      </c>
      <c r="M972" s="125"/>
      <c r="N972" s="221"/>
      <c r="O972" s="125"/>
      <c r="P972" s="221" t="s">
        <v>3310</v>
      </c>
      <c r="Q972" s="223"/>
      <c r="R972" s="223"/>
      <c r="S972" s="223"/>
      <c r="T972" s="125"/>
      <c r="U972" s="125"/>
      <c r="V972" s="125"/>
      <c r="W972" s="125"/>
      <c r="X972" s="125"/>
      <c r="Y972" s="125"/>
      <c r="Z972" s="125"/>
    </row>
    <row r="973">
      <c r="A973" s="329"/>
      <c r="B973" s="119" t="s">
        <v>2835</v>
      </c>
      <c r="C973" s="121" t="s">
        <v>3311</v>
      </c>
      <c r="D973" s="121" t="s">
        <v>40</v>
      </c>
      <c r="E973" s="221" t="s">
        <v>3312</v>
      </c>
      <c r="F973" s="123">
        <f t="shared" si="1"/>
        <v>2</v>
      </c>
      <c r="G973" s="121" t="s">
        <v>3313</v>
      </c>
      <c r="H973" s="12"/>
      <c r="I973" s="192" t="str">
        <f>IFERROR(__xludf.DUMMYFUNCTION("regexreplace(lower(C973), ""_"", """")"),"mriinfarctionaterialterritoryright")</f>
        <v>mriinfarctionaterialterritoryright</v>
      </c>
      <c r="J973" s="192" t="b">
        <f t="shared" si="57"/>
        <v>1</v>
      </c>
      <c r="K973" s="192" t="str">
        <f>IFERROR(__xludf.DUMMYFUNCTION("regexreplace(G973, ""_"", """")"),"mriinfarctionaterialterritoryright")</f>
        <v>mriinfarctionaterialterritoryright</v>
      </c>
      <c r="L9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""$1$2"")"),"mri_infarction_aterial_territory_right")</f>
        <v>mri_infarction_aterial_territory_right</v>
      </c>
      <c r="M973" s="125"/>
      <c r="N973" s="221"/>
      <c r="O973" s="125"/>
      <c r="P973" s="221" t="s">
        <v>3314</v>
      </c>
      <c r="Q973" s="221" t="s">
        <v>3315</v>
      </c>
      <c r="R973" s="223"/>
      <c r="S973" s="223"/>
      <c r="T973" s="125"/>
      <c r="U973" s="125"/>
      <c r="V973" s="125"/>
      <c r="W973" s="125"/>
      <c r="X973" s="125"/>
      <c r="Y973" s="125"/>
      <c r="Z973" s="125"/>
    </row>
    <row r="974">
      <c r="A974" s="329"/>
      <c r="B974" s="119" t="s">
        <v>2835</v>
      </c>
      <c r="C974" s="121" t="s">
        <v>3316</v>
      </c>
      <c r="D974" s="121" t="s">
        <v>40</v>
      </c>
      <c r="E974" s="221"/>
      <c r="F974" s="123">
        <f t="shared" si="1"/>
        <v>1</v>
      </c>
      <c r="G974" s="121" t="s">
        <v>3317</v>
      </c>
      <c r="H974" s="12"/>
      <c r="I974" s="192" t="str">
        <f>IFERROR(__xludf.DUMMYFUNCTION("regexreplace(lower(C974), ""_"", """")"),"mriinfarctionaterialterritoryrightc")</f>
        <v>mriinfarctionaterialterritoryrightc</v>
      </c>
      <c r="J974" s="192" t="b">
        <f t="shared" si="57"/>
        <v>1</v>
      </c>
      <c r="K974" s="192" t="str">
        <f>IFERROR(__xludf.DUMMYFUNCTION("regexreplace(G974, ""_"", """")"),"mriinfarctionaterialterritoryrightc")</f>
        <v>mriinfarctionaterialterritoryrightc</v>
      </c>
      <c r="L9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""$1$2"")"),"mri_infarction_aterial_territory_right_c")</f>
        <v>mri_infarction_aterial_territory_right_c</v>
      </c>
      <c r="M974" s="125"/>
      <c r="N974" s="221"/>
      <c r="O974" s="125"/>
      <c r="P974" s="221" t="s">
        <v>3318</v>
      </c>
      <c r="Q974" s="223"/>
      <c r="R974" s="223"/>
      <c r="S974" s="223"/>
      <c r="T974" s="125"/>
      <c r="U974" s="125"/>
      <c r="V974" s="125"/>
      <c r="W974" s="125"/>
      <c r="X974" s="125"/>
      <c r="Y974" s="125"/>
      <c r="Z974" s="125"/>
    </row>
    <row r="975">
      <c r="A975" s="329"/>
      <c r="B975" s="119" t="s">
        <v>2835</v>
      </c>
      <c r="C975" s="121" t="s">
        <v>3319</v>
      </c>
      <c r="D975" s="121" t="s">
        <v>40</v>
      </c>
      <c r="E975" s="221" t="s">
        <v>3320</v>
      </c>
      <c r="F975" s="123">
        <f t="shared" si="1"/>
        <v>1</v>
      </c>
      <c r="G975" s="121" t="s">
        <v>3321</v>
      </c>
      <c r="H975" s="12"/>
      <c r="I975" s="192" t="str">
        <f>IFERROR(__xludf.DUMMYFUNCTION("regexreplace(lower(C975), ""_"", """")"),"mriinfarctionwatershedleft")</f>
        <v>mriinfarctionwatershedleft</v>
      </c>
      <c r="J975" s="192" t="b">
        <f t="shared" si="57"/>
        <v>1</v>
      </c>
      <c r="K975" s="192" t="str">
        <f>IFERROR(__xludf.DUMMYFUNCTION("regexreplace(G975, ""_"", """")"),"mriinfarctionwatershedleft")</f>
        <v>mriinfarctionwatershedleft</v>
      </c>
      <c r="L9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""$1$2"")"),"mri_infarction_watershed_left")</f>
        <v>mri_infarction_watershed_left</v>
      </c>
      <c r="M975" s="125"/>
      <c r="N975" s="221"/>
      <c r="O975" s="125"/>
      <c r="P975" s="221" t="s">
        <v>3322</v>
      </c>
      <c r="Q975" s="223"/>
      <c r="R975" s="223"/>
      <c r="S975" s="223"/>
      <c r="T975" s="125"/>
      <c r="U975" s="125"/>
      <c r="V975" s="125"/>
      <c r="W975" s="125"/>
      <c r="X975" s="125"/>
      <c r="Y975" s="125"/>
      <c r="Z975" s="125"/>
    </row>
    <row r="976">
      <c r="A976" s="329"/>
      <c r="B976" s="119" t="s">
        <v>2835</v>
      </c>
      <c r="C976" s="121" t="s">
        <v>3323</v>
      </c>
      <c r="D976" s="121" t="s">
        <v>40</v>
      </c>
      <c r="E976" s="221"/>
      <c r="F976" s="123">
        <f t="shared" si="1"/>
        <v>1</v>
      </c>
      <c r="G976" s="121" t="s">
        <v>3324</v>
      </c>
      <c r="H976" s="12"/>
      <c r="I976" s="192" t="str">
        <f>IFERROR(__xludf.DUMMYFUNCTION("regexreplace(lower(C976), ""_"", """")"),"mriinfarctionwatershedleftc")</f>
        <v>mriinfarctionwatershedleftc</v>
      </c>
      <c r="J976" s="192" t="b">
        <f t="shared" si="57"/>
        <v>1</v>
      </c>
      <c r="K976" s="192" t="str">
        <f>IFERROR(__xludf.DUMMYFUNCTION("regexreplace(G976, ""_"", """")"),"mriinfarctionwatershedleftc")</f>
        <v>mriinfarctionwatershedleftc</v>
      </c>
      <c r="L9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""$1$2"")"),"mri_infarction_watershed_left_c")</f>
        <v>mri_infarction_watershed_left_c</v>
      </c>
      <c r="M976" s="125"/>
      <c r="N976" s="221"/>
      <c r="O976" s="125"/>
      <c r="P976" s="221" t="s">
        <v>3325</v>
      </c>
      <c r="Q976" s="223"/>
      <c r="R976" s="223"/>
      <c r="S976" s="223"/>
      <c r="T976" s="125"/>
      <c r="U976" s="125"/>
      <c r="V976" s="125"/>
      <c r="W976" s="125"/>
      <c r="X976" s="125"/>
      <c r="Y976" s="125"/>
      <c r="Z976" s="125"/>
    </row>
    <row r="977">
      <c r="A977" s="329"/>
      <c r="B977" s="119" t="s">
        <v>2835</v>
      </c>
      <c r="C977" s="121" t="s">
        <v>3326</v>
      </c>
      <c r="D977" s="121" t="s">
        <v>40</v>
      </c>
      <c r="E977" s="221" t="s">
        <v>3327</v>
      </c>
      <c r="F977" s="123">
        <f t="shared" si="1"/>
        <v>1</v>
      </c>
      <c r="G977" s="121" t="s">
        <v>3328</v>
      </c>
      <c r="H977" s="12"/>
      <c r="I977" s="192" t="str">
        <f>IFERROR(__xludf.DUMMYFUNCTION("regexreplace(lower(C977), ""_"", """")"),"mriinfarctionwatershedright")</f>
        <v>mriinfarctionwatershedright</v>
      </c>
      <c r="J977" s="192" t="b">
        <f t="shared" si="57"/>
        <v>1</v>
      </c>
      <c r="K977" s="192" t="str">
        <f>IFERROR(__xludf.DUMMYFUNCTION("regexreplace(G977, ""_"", """")"),"mriinfarctionwatershedright")</f>
        <v>mriinfarctionwatershedright</v>
      </c>
      <c r="L9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""$1$2"")"),"mri_infarction_watershed_right")</f>
        <v>mri_infarction_watershed_right</v>
      </c>
      <c r="M977" s="125"/>
      <c r="N977" s="221"/>
      <c r="O977" s="125"/>
      <c r="P977" s="221" t="s">
        <v>3329</v>
      </c>
      <c r="Q977" s="223"/>
      <c r="R977" s="223"/>
      <c r="S977" s="223"/>
      <c r="T977" s="125"/>
      <c r="U977" s="125"/>
      <c r="V977" s="125"/>
      <c r="W977" s="125"/>
      <c r="X977" s="125"/>
      <c r="Y977" s="125"/>
      <c r="Z977" s="125"/>
    </row>
    <row r="978">
      <c r="A978" s="329"/>
      <c r="B978" s="119" t="s">
        <v>2835</v>
      </c>
      <c r="C978" s="121" t="s">
        <v>3330</v>
      </c>
      <c r="D978" s="121" t="s">
        <v>40</v>
      </c>
      <c r="E978" s="221"/>
      <c r="F978" s="123">
        <f t="shared" si="1"/>
        <v>1</v>
      </c>
      <c r="G978" s="121" t="s">
        <v>3331</v>
      </c>
      <c r="H978" s="12"/>
      <c r="I978" s="192" t="str">
        <f>IFERROR(__xludf.DUMMYFUNCTION("regexreplace(lower(C978), ""_"", """")"),"mriinfarctionwatershedrightc")</f>
        <v>mriinfarctionwatershedrightc</v>
      </c>
      <c r="J978" s="192" t="b">
        <f t="shared" si="57"/>
        <v>1</v>
      </c>
      <c r="K978" s="192" t="str">
        <f>IFERROR(__xludf.DUMMYFUNCTION("regexreplace(G978, ""_"", """")"),"mriinfarctionwatershedrightc")</f>
        <v>mriinfarctionwatershedrightc</v>
      </c>
      <c r="L9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""$1$2"")"),"mri_infarction_watershed_right_c")</f>
        <v>mri_infarction_watershed_right_c</v>
      </c>
      <c r="M978" s="125"/>
      <c r="N978" s="221"/>
      <c r="O978" s="125"/>
      <c r="P978" s="221" t="s">
        <v>3332</v>
      </c>
      <c r="Q978" s="223"/>
      <c r="R978" s="223"/>
      <c r="S978" s="223"/>
      <c r="T978" s="125"/>
      <c r="U978" s="125"/>
      <c r="V978" s="125"/>
      <c r="W978" s="125"/>
      <c r="X978" s="125"/>
      <c r="Y978" s="125"/>
      <c r="Z978" s="125"/>
    </row>
    <row r="979">
      <c r="A979" s="329"/>
      <c r="B979" s="119" t="s">
        <v>2835</v>
      </c>
      <c r="C979" s="121" t="s">
        <v>3333</v>
      </c>
      <c r="D979" s="121" t="s">
        <v>40</v>
      </c>
      <c r="E979" s="221" t="s">
        <v>3334</v>
      </c>
      <c r="F979" s="123">
        <f t="shared" si="1"/>
        <v>2</v>
      </c>
      <c r="G979" s="121" t="s">
        <v>3335</v>
      </c>
      <c r="H979" s="12"/>
      <c r="I979" s="192" t="str">
        <f>IFERROR(__xludf.DUMMYFUNCTION("regexreplace(lower(C979), ""_"", """")"),"mrimidlineshift")</f>
        <v>mrimidlineshift</v>
      </c>
      <c r="J979" s="192" t="b">
        <f t="shared" si="57"/>
        <v>1</v>
      </c>
      <c r="K979" s="192" t="str">
        <f>IFERROR(__xludf.DUMMYFUNCTION("regexreplace(G979, ""_"", """")"),"mrimidlineshift")</f>
        <v>mrimidlineshift</v>
      </c>
      <c r="L9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979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""$1$2"")"),"mri_midline_shift")</f>
        <v>mri_midline_shift</v>
      </c>
      <c r="M979" s="125"/>
      <c r="N979" s="221"/>
      <c r="O979" s="125"/>
      <c r="P979" s="221" t="s">
        <v>3336</v>
      </c>
      <c r="Q979" s="221" t="s">
        <v>3337</v>
      </c>
      <c r="R979" s="223"/>
      <c r="S979" s="223"/>
      <c r="T979" s="125"/>
      <c r="U979" s="125"/>
      <c r="V979" s="125"/>
      <c r="W979" s="125"/>
      <c r="X979" s="125"/>
      <c r="Y979" s="125"/>
      <c r="Z979" s="125"/>
    </row>
    <row r="980">
      <c r="A980" s="329"/>
      <c r="B980" s="119" t="s">
        <v>2835</v>
      </c>
      <c r="C980" s="121" t="s">
        <v>3338</v>
      </c>
      <c r="D980" s="121" t="s">
        <v>40</v>
      </c>
      <c r="E980" s="221"/>
      <c r="F980" s="123">
        <f t="shared" si="1"/>
        <v>2</v>
      </c>
      <c r="G980" s="121" t="s">
        <v>3339</v>
      </c>
      <c r="H980" s="12"/>
      <c r="I980" s="192" t="str">
        <f>IFERROR(__xludf.DUMMYFUNCTION("regexreplace(lower(C980), ""_"", """")"),"mrimidlineshiftc")</f>
        <v>mrimidlineshiftc</v>
      </c>
      <c r="J980" s="192" t="b">
        <f t="shared" si="57"/>
        <v>1</v>
      </c>
      <c r="K980" s="192" t="str">
        <f>IFERROR(__xludf.DUMMYFUNCTION("regexreplace(G980, ""_"", """")"),"mrimidlineshiftc")</f>
        <v>mrimidlineshiftc</v>
      </c>
      <c r="L9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""$1$2"")"),"mri_midline_shift_c")</f>
        <v>mri_midline_shift_c</v>
      </c>
      <c r="M980" s="125"/>
      <c r="N980" s="221"/>
      <c r="O980" s="125"/>
      <c r="P980" s="221" t="s">
        <v>3340</v>
      </c>
      <c r="Q980" s="221" t="s">
        <v>3341</v>
      </c>
      <c r="R980" s="223"/>
      <c r="S980" s="223"/>
      <c r="T980" s="125"/>
      <c r="U980" s="125"/>
      <c r="V980" s="125"/>
      <c r="W980" s="125"/>
      <c r="X980" s="125"/>
      <c r="Y980" s="125"/>
      <c r="Z980" s="125"/>
    </row>
    <row r="981">
      <c r="A981" s="329"/>
      <c r="B981" s="119" t="s">
        <v>2835</v>
      </c>
      <c r="C981" s="121" t="s">
        <v>3342</v>
      </c>
      <c r="D981" s="121" t="s">
        <v>3267</v>
      </c>
      <c r="E981" s="221" t="s">
        <v>3343</v>
      </c>
      <c r="F981" s="123">
        <f t="shared" si="1"/>
        <v>2</v>
      </c>
      <c r="G981" s="121" t="s">
        <v>3344</v>
      </c>
      <c r="H981" s="12"/>
      <c r="I981" s="192" t="str">
        <f>IFERROR(__xludf.DUMMYFUNCTION("regexreplace(lower(C981), ""_"", """")"),"mribgt")</f>
        <v>mribgt</v>
      </c>
      <c r="J981" s="192" t="b">
        <f t="shared" si="57"/>
        <v>1</v>
      </c>
      <c r="K981" s="192" t="str">
        <f>IFERROR(__xludf.DUMMYFUNCTION("regexreplace(G981, ""_"", """")"),"mribgt")</f>
        <v>mribgt</v>
      </c>
      <c r="L9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""$1$2"")"),"mri_bgt")</f>
        <v>mri_bgt</v>
      </c>
      <c r="M981" s="125"/>
      <c r="N981" s="221"/>
      <c r="O981" s="125"/>
      <c r="P981" s="221" t="s">
        <v>3345</v>
      </c>
      <c r="Q981" s="221" t="s">
        <v>3346</v>
      </c>
      <c r="R981" s="223"/>
      <c r="S981" s="223"/>
      <c r="T981" s="125"/>
      <c r="U981" s="125"/>
      <c r="V981" s="125"/>
      <c r="W981" s="125"/>
      <c r="X981" s="125"/>
      <c r="Y981" s="125"/>
      <c r="Z981" s="125"/>
    </row>
    <row r="982">
      <c r="A982" s="329"/>
      <c r="B982" s="119" t="s">
        <v>2835</v>
      </c>
      <c r="C982" s="121" t="s">
        <v>3347</v>
      </c>
      <c r="D982" s="121" t="s">
        <v>3267</v>
      </c>
      <c r="E982" s="221"/>
      <c r="F982" s="123">
        <f t="shared" si="1"/>
        <v>2</v>
      </c>
      <c r="G982" s="121" t="s">
        <v>3348</v>
      </c>
      <c r="H982" s="12"/>
      <c r="I982" s="192" t="str">
        <f>IFERROR(__xludf.DUMMYFUNCTION("regexreplace(lower(C982), ""_"", """")"),"mribgtc")</f>
        <v>mribgtc</v>
      </c>
      <c r="J982" s="192" t="b">
        <f t="shared" si="57"/>
        <v>1</v>
      </c>
      <c r="K982" s="192" t="str">
        <f>IFERROR(__xludf.DUMMYFUNCTION("regexreplace(G982, ""_"", """")"),"mribgtc")</f>
        <v>mribgtc</v>
      </c>
      <c r="L9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""$1$2"")"),"mri_bgt_c")</f>
        <v>mri_bgt_c</v>
      </c>
      <c r="M982" s="125"/>
      <c r="N982" s="221"/>
      <c r="O982" s="125"/>
      <c r="P982" s="221" t="s">
        <v>3349</v>
      </c>
      <c r="Q982" s="221" t="s">
        <v>3350</v>
      </c>
      <c r="R982" s="223"/>
      <c r="S982" s="223"/>
      <c r="T982" s="125"/>
      <c r="U982" s="125"/>
      <c r="V982" s="125"/>
      <c r="W982" s="125"/>
      <c r="X982" s="125"/>
      <c r="Y982" s="125"/>
      <c r="Z982" s="125"/>
    </row>
    <row r="983">
      <c r="A983" s="329"/>
      <c r="B983" s="119" t="s">
        <v>2835</v>
      </c>
      <c r="C983" s="121" t="s">
        <v>3351</v>
      </c>
      <c r="D983" s="121" t="s">
        <v>3352</v>
      </c>
      <c r="E983" s="221" t="s">
        <v>3353</v>
      </c>
      <c r="F983" s="123">
        <f t="shared" si="1"/>
        <v>2</v>
      </c>
      <c r="G983" s="121" t="s">
        <v>3354</v>
      </c>
      <c r="H983" s="12"/>
      <c r="I983" s="192" t="str">
        <f>IFERROR(__xludf.DUMMYFUNCTION("regexreplace(lower(C983), ""_"", """")"),"mriplic")</f>
        <v>mriplic</v>
      </c>
      <c r="J983" s="192" t="b">
        <f t="shared" si="57"/>
        <v>1</v>
      </c>
      <c r="K983" s="192" t="str">
        <f>IFERROR(__xludf.DUMMYFUNCTION("regexreplace(G983, ""_"", """")"),"mriplic")</f>
        <v>mriplic</v>
      </c>
      <c r="L9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""$1$2"")"),"mri_plic")</f>
        <v>mri_plic</v>
      </c>
      <c r="M983" s="125"/>
      <c r="N983" s="221"/>
      <c r="O983" s="125"/>
      <c r="P983" s="221" t="s">
        <v>3355</v>
      </c>
      <c r="Q983" s="221" t="s">
        <v>3356</v>
      </c>
      <c r="R983" s="223"/>
      <c r="S983" s="223"/>
      <c r="T983" s="125"/>
      <c r="U983" s="125"/>
      <c r="V983" s="125"/>
      <c r="W983" s="125"/>
      <c r="X983" s="125"/>
      <c r="Y983" s="125"/>
      <c r="Z983" s="125"/>
    </row>
    <row r="984">
      <c r="A984" s="329"/>
      <c r="B984" s="119" t="s">
        <v>2835</v>
      </c>
      <c r="C984" s="121" t="s">
        <v>3357</v>
      </c>
      <c r="D984" s="121" t="s">
        <v>3352</v>
      </c>
      <c r="E984" s="221"/>
      <c r="F984" s="123">
        <f t="shared" si="1"/>
        <v>2</v>
      </c>
      <c r="G984" s="121" t="s">
        <v>3358</v>
      </c>
      <c r="H984" s="12"/>
      <c r="I984" s="192" t="str">
        <f>IFERROR(__xludf.DUMMYFUNCTION("regexreplace(lower(C984), ""_"", """")"),"mriplicc")</f>
        <v>mriplicc</v>
      </c>
      <c r="J984" s="192" t="b">
        <f t="shared" si="57"/>
        <v>1</v>
      </c>
      <c r="K984" s="192" t="str">
        <f>IFERROR(__xludf.DUMMYFUNCTION("regexreplace(G984, ""_"", """")"),"mriplicc")</f>
        <v>mriplicc</v>
      </c>
      <c r="L9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""$1$2"")"),"mri_plic_c")</f>
        <v>mri_plic_c</v>
      </c>
      <c r="M984" s="125"/>
      <c r="N984" s="221"/>
      <c r="O984" s="125"/>
      <c r="P984" s="221" t="s">
        <v>3359</v>
      </c>
      <c r="Q984" s="221" t="s">
        <v>3360</v>
      </c>
      <c r="R984" s="223"/>
      <c r="S984" s="223"/>
      <c r="T984" s="125"/>
      <c r="U984" s="125"/>
      <c r="V984" s="125"/>
      <c r="W984" s="125"/>
      <c r="X984" s="125"/>
      <c r="Y984" s="125"/>
      <c r="Z984" s="125"/>
    </row>
    <row r="985">
      <c r="A985" s="329"/>
      <c r="B985" s="119" t="s">
        <v>2835</v>
      </c>
      <c r="C985" s="121" t="s">
        <v>3361</v>
      </c>
      <c r="D985" s="121" t="s">
        <v>3352</v>
      </c>
      <c r="E985" s="221" t="s">
        <v>3362</v>
      </c>
      <c r="F985" s="123">
        <f t="shared" si="1"/>
        <v>1</v>
      </c>
      <c r="G985" s="121" t="s">
        <v>3363</v>
      </c>
      <c r="H985" s="12"/>
      <c r="I985" s="192" t="str">
        <f>IFERROR(__xludf.DUMMYFUNCTION("regexreplace(lower(C985), ""_"", """")"),"mrialic")</f>
        <v>mrialic</v>
      </c>
      <c r="J985" s="192" t="b">
        <f t="shared" si="57"/>
        <v>1</v>
      </c>
      <c r="K985" s="192" t="str">
        <f>IFERROR(__xludf.DUMMYFUNCTION("regexreplace(G985, ""_"", """")"),"mrialic")</f>
        <v>mrialic</v>
      </c>
      <c r="L9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""$1$2"")"),"mri_alic")</f>
        <v>mri_alic</v>
      </c>
      <c r="M985" s="125"/>
      <c r="N985" s="221"/>
      <c r="O985" s="125"/>
      <c r="P985" s="221" t="s">
        <v>3364</v>
      </c>
      <c r="Q985" s="223"/>
      <c r="R985" s="223"/>
      <c r="S985" s="223"/>
      <c r="T985" s="125"/>
      <c r="U985" s="125"/>
      <c r="V985" s="125"/>
      <c r="W985" s="125"/>
      <c r="X985" s="125"/>
      <c r="Y985" s="125"/>
      <c r="Z985" s="125"/>
    </row>
    <row r="986">
      <c r="A986" s="329"/>
      <c r="B986" s="119" t="s">
        <v>2835</v>
      </c>
      <c r="C986" s="121" t="s">
        <v>3365</v>
      </c>
      <c r="D986" s="121" t="s">
        <v>3352</v>
      </c>
      <c r="E986" s="221"/>
      <c r="F986" s="123">
        <f t="shared" si="1"/>
        <v>1</v>
      </c>
      <c r="G986" s="121" t="s">
        <v>3366</v>
      </c>
      <c r="H986" s="12"/>
      <c r="I986" s="192" t="str">
        <f>IFERROR(__xludf.DUMMYFUNCTION("regexreplace(lower(C986), ""_"", """")"),"mrialicc")</f>
        <v>mrialicc</v>
      </c>
      <c r="J986" s="192" t="b">
        <f t="shared" si="57"/>
        <v>1</v>
      </c>
      <c r="K986" s="192" t="str">
        <f>IFERROR(__xludf.DUMMYFUNCTION("regexreplace(G986, ""_"", """")"),"mrialicc")</f>
        <v>mrialicc</v>
      </c>
      <c r="L9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""$1$2"")"),"mri_alic_c")</f>
        <v>mri_alic_c</v>
      </c>
      <c r="M986" s="125"/>
      <c r="N986" s="221"/>
      <c r="O986" s="125"/>
      <c r="P986" s="221" t="s">
        <v>3367</v>
      </c>
      <c r="Q986" s="223"/>
      <c r="R986" s="223"/>
      <c r="S986" s="223"/>
      <c r="T986" s="125"/>
      <c r="U986" s="125"/>
      <c r="V986" s="125"/>
      <c r="W986" s="125"/>
      <c r="X986" s="125"/>
      <c r="Y986" s="125"/>
      <c r="Z986" s="125"/>
    </row>
    <row r="987">
      <c r="A987" s="329"/>
      <c r="B987" s="119" t="s">
        <v>2835</v>
      </c>
      <c r="C987" s="121" t="s">
        <v>3368</v>
      </c>
      <c r="D987" s="121" t="s">
        <v>3267</v>
      </c>
      <c r="E987" s="221" t="s">
        <v>3369</v>
      </c>
      <c r="F987" s="123">
        <f t="shared" si="1"/>
        <v>2</v>
      </c>
      <c r="G987" s="121" t="s">
        <v>3370</v>
      </c>
      <c r="H987" s="12"/>
      <c r="I987" s="192" t="str">
        <f>IFERROR(__xludf.DUMMYFUNCTION("regexreplace(lower(C987), ""_"", """")"),"mriwatershed")</f>
        <v>mriwatershed</v>
      </c>
      <c r="J987" s="192" t="b">
        <f t="shared" si="57"/>
        <v>1</v>
      </c>
      <c r="K987" s="192" t="str">
        <f>IFERROR(__xludf.DUMMYFUNCTION("regexreplace(G987, ""_"", """")"),"mriwatershed")</f>
        <v>mriwatershed</v>
      </c>
      <c r="L9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""$1$2"")"),"mri_watershed")</f>
        <v>mri_watershed</v>
      </c>
      <c r="M987" s="125"/>
      <c r="N987" s="221"/>
      <c r="O987" s="125"/>
      <c r="P987" s="221" t="s">
        <v>3371</v>
      </c>
      <c r="Q987" s="221" t="s">
        <v>3372</v>
      </c>
      <c r="R987" s="223"/>
      <c r="S987" s="223"/>
      <c r="T987" s="125"/>
      <c r="U987" s="125"/>
      <c r="V987" s="125"/>
      <c r="W987" s="125"/>
      <c r="X987" s="125"/>
      <c r="Y987" s="125"/>
      <c r="Z987" s="125"/>
    </row>
    <row r="988">
      <c r="A988" s="329"/>
      <c r="B988" s="119" t="s">
        <v>2835</v>
      </c>
      <c r="C988" s="121" t="s">
        <v>3373</v>
      </c>
      <c r="D988" s="121" t="s">
        <v>3267</v>
      </c>
      <c r="E988" s="221"/>
      <c r="F988" s="123">
        <f t="shared" si="1"/>
        <v>2</v>
      </c>
      <c r="G988" s="121" t="s">
        <v>3374</v>
      </c>
      <c r="H988" s="12"/>
      <c r="I988" s="192" t="str">
        <f>IFERROR(__xludf.DUMMYFUNCTION("regexreplace(lower(C988), ""_"", """")"),"mriwatershedc")</f>
        <v>mriwatershedc</v>
      </c>
      <c r="J988" s="192" t="b">
        <f t="shared" si="57"/>
        <v>1</v>
      </c>
      <c r="K988" s="192" t="str">
        <f>IFERROR(__xludf.DUMMYFUNCTION("regexreplace(G988, ""_"", """")"),"mriwatershedc")</f>
        <v>mriwatershedc</v>
      </c>
      <c r="L9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""$1$2"")"),"mri_watershed_c")</f>
        <v>mri_watershed_c</v>
      </c>
      <c r="M988" s="125"/>
      <c r="N988" s="221"/>
      <c r="O988" s="125"/>
      <c r="P988" s="221" t="s">
        <v>3375</v>
      </c>
      <c r="Q988" s="221" t="s">
        <v>3376</v>
      </c>
      <c r="R988" s="223"/>
      <c r="S988" s="223"/>
      <c r="T988" s="125"/>
      <c r="U988" s="125"/>
      <c r="V988" s="125"/>
      <c r="W988" s="125"/>
      <c r="X988" s="125"/>
      <c r="Y988" s="125"/>
      <c r="Z988" s="125"/>
    </row>
    <row r="989">
      <c r="A989" s="329"/>
      <c r="B989" s="119" t="s">
        <v>2835</v>
      </c>
      <c r="C989" s="121" t="s">
        <v>3377</v>
      </c>
      <c r="D989" s="121" t="s">
        <v>3378</v>
      </c>
      <c r="E989" s="221" t="s">
        <v>3379</v>
      </c>
      <c r="F989" s="123">
        <f t="shared" si="1"/>
        <v>2</v>
      </c>
      <c r="G989" s="121" t="s">
        <v>3380</v>
      </c>
      <c r="H989" s="12"/>
      <c r="I989" s="192" t="str">
        <f>IFERROR(__xludf.DUMMYFUNCTION("regexreplace(lower(C989), ""_"", """")"),"mriwhitematterinjury")</f>
        <v>mriwhitematterinjury</v>
      </c>
      <c r="J989" s="192" t="b">
        <f t="shared" si="57"/>
        <v>1</v>
      </c>
      <c r="K989" s="192" t="str">
        <f>IFERROR(__xludf.DUMMYFUNCTION("regexreplace(G989, ""_"", """")"),"mriwhitematterinjury")</f>
        <v>mriwhitematterinjury</v>
      </c>
      <c r="L9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989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""$1$2"")"),"mri_white_matter_injury")</f>
        <v>mri_white_matter_injury</v>
      </c>
      <c r="M989" s="125"/>
      <c r="N989" s="221"/>
      <c r="O989" s="125"/>
      <c r="P989" s="221" t="s">
        <v>3381</v>
      </c>
      <c r="Q989" s="221" t="s">
        <v>3382</v>
      </c>
      <c r="R989" s="223"/>
      <c r="S989" s="223"/>
      <c r="T989" s="125"/>
      <c r="U989" s="125"/>
      <c r="V989" s="125"/>
      <c r="W989" s="125"/>
      <c r="X989" s="125"/>
      <c r="Y989" s="125"/>
      <c r="Z989" s="125"/>
    </row>
    <row r="990">
      <c r="A990" s="329"/>
      <c r="B990" s="119" t="s">
        <v>2835</v>
      </c>
      <c r="C990" s="121" t="s">
        <v>3383</v>
      </c>
      <c r="D990" s="121" t="s">
        <v>3378</v>
      </c>
      <c r="E990" s="221"/>
      <c r="F990" s="123">
        <f t="shared" si="1"/>
        <v>2</v>
      </c>
      <c r="G990" s="121" t="s">
        <v>3384</v>
      </c>
      <c r="H990" s="12"/>
      <c r="I990" s="192" t="str">
        <f>IFERROR(__xludf.DUMMYFUNCTION("regexreplace(lower(C990), ""_"", """")"),"mriwhitematterinjuryc")</f>
        <v>mriwhitematterinjuryc</v>
      </c>
      <c r="J990" s="192" t="b">
        <f t="shared" si="57"/>
        <v>1</v>
      </c>
      <c r="K990" s="192" t="str">
        <f>IFERROR(__xludf.DUMMYFUNCTION("regexreplace(G990, ""_"", """")"),"mriwhitematterinjuryc")</f>
        <v>mriwhitematterinjuryc</v>
      </c>
      <c r="L9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990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""$1$2"")"),"mri_white_matter_injury_c")</f>
        <v>mri_white_matter_injury_c</v>
      </c>
      <c r="M990" s="125"/>
      <c r="N990" s="221"/>
      <c r="O990" s="125"/>
      <c r="P990" s="221" t="s">
        <v>3385</v>
      </c>
      <c r="Q990" s="221" t="s">
        <v>3386</v>
      </c>
      <c r="R990" s="223"/>
      <c r="S990" s="223"/>
      <c r="T990" s="125"/>
      <c r="U990" s="125"/>
      <c r="V990" s="125"/>
      <c r="W990" s="125"/>
      <c r="X990" s="125"/>
      <c r="Y990" s="125"/>
      <c r="Z990" s="125"/>
    </row>
    <row r="991">
      <c r="A991" s="329"/>
      <c r="B991" s="119" t="s">
        <v>2835</v>
      </c>
      <c r="C991" s="121" t="s">
        <v>3387</v>
      </c>
      <c r="D991" s="121" t="s">
        <v>3378</v>
      </c>
      <c r="E991" s="221" t="s">
        <v>3388</v>
      </c>
      <c r="F991" s="123">
        <f t="shared" si="1"/>
        <v>1</v>
      </c>
      <c r="G991" s="121" t="s">
        <v>3389</v>
      </c>
      <c r="H991" s="12"/>
      <c r="I991" s="192" t="str">
        <f>IFERROR(__xludf.DUMMYFUNCTION("regexreplace(lower(C991), ""_"", """")"),"mrifocalcorticalinjury")</f>
        <v>mrifocalcorticalinjury</v>
      </c>
      <c r="J991" s="192" t="b">
        <f t="shared" si="57"/>
        <v>1</v>
      </c>
      <c r="K991" s="192" t="str">
        <f>IFERROR(__xludf.DUMMYFUNCTION("regexreplace(G991, ""_"", """")"),"mrifocalcorticalinjury")</f>
        <v>mrifocalcorticalinjury</v>
      </c>
      <c r="L9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991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""$1$2"")"),"mri_focal_cortical_injury")</f>
        <v>mri_focal_cortical_injury</v>
      </c>
      <c r="M991" s="125"/>
      <c r="N991" s="221"/>
      <c r="O991" s="125"/>
      <c r="P991" s="221" t="s">
        <v>3390</v>
      </c>
      <c r="Q991" s="223"/>
      <c r="R991" s="223"/>
      <c r="S991" s="223"/>
      <c r="T991" s="125"/>
      <c r="U991" s="125"/>
      <c r="V991" s="125"/>
      <c r="W991" s="125"/>
      <c r="X991" s="125"/>
      <c r="Y991" s="125"/>
      <c r="Z991" s="125"/>
    </row>
    <row r="992">
      <c r="A992" s="329"/>
      <c r="B992" s="119" t="s">
        <v>2835</v>
      </c>
      <c r="C992" s="121" t="s">
        <v>3391</v>
      </c>
      <c r="D992" s="121" t="s">
        <v>3378</v>
      </c>
      <c r="E992" s="221"/>
      <c r="F992" s="123">
        <f t="shared" si="1"/>
        <v>1</v>
      </c>
      <c r="G992" s="121" t="s">
        <v>3392</v>
      </c>
      <c r="H992" s="12"/>
      <c r="I992" s="192" t="str">
        <f>IFERROR(__xludf.DUMMYFUNCTION("regexreplace(lower(C992), ""_"", """")"),"mrifocalcorticalinjuryc")</f>
        <v>mrifocalcorticalinjuryc</v>
      </c>
      <c r="J992" s="192" t="b">
        <f t="shared" si="57"/>
        <v>1</v>
      </c>
      <c r="K992" s="192" t="str">
        <f>IFERROR(__xludf.DUMMYFUNCTION("regexreplace(G992, ""_"", """")"),"mrifocalcorticalinjuryc")</f>
        <v>mrifocalcorticalinjuryc</v>
      </c>
      <c r="L9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992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""$1$2"")"),"mri_focal_cortical_injury_c")</f>
        <v>mri_focal_cortical_injury_c</v>
      </c>
      <c r="M992" s="125"/>
      <c r="N992" s="221"/>
      <c r="O992" s="125"/>
      <c r="P992" s="221" t="s">
        <v>3393</v>
      </c>
      <c r="Q992" s="223"/>
      <c r="R992" s="223"/>
      <c r="S992" s="223"/>
      <c r="T992" s="125"/>
      <c r="U992" s="125"/>
      <c r="V992" s="125"/>
      <c r="W992" s="125"/>
      <c r="X992" s="125"/>
      <c r="Y992" s="125"/>
      <c r="Z992" s="125"/>
    </row>
    <row r="993">
      <c r="A993" s="329"/>
      <c r="B993" s="119" t="s">
        <v>2835</v>
      </c>
      <c r="C993" s="121" t="s">
        <v>2897</v>
      </c>
      <c r="D993" s="121" t="s">
        <v>2897</v>
      </c>
      <c r="E993" s="221" t="s">
        <v>3394</v>
      </c>
      <c r="F993" s="123">
        <f t="shared" si="1"/>
        <v>2</v>
      </c>
      <c r="G993" s="121" t="s">
        <v>3395</v>
      </c>
      <c r="H993" s="12"/>
      <c r="I993" s="192" t="str">
        <f>IFERROR(__xludf.DUMMYFUNCTION("regexreplace(lower(C993), ""_"", """")"),"mrinrnpatternofinjury")</f>
        <v>mrinrnpatternofinjury</v>
      </c>
      <c r="J993" s="192" t="b">
        <f t="shared" si="57"/>
        <v>1</v>
      </c>
      <c r="K993" s="192" t="str">
        <f>IFERROR(__xludf.DUMMYFUNCTION("regexreplace(G993, ""_"", """")"),"mrinrnpatternofinjury")</f>
        <v>mrinrnpatternofinjury</v>
      </c>
      <c r="L9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993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""$1$2"")"),"mri_nrn_pattern_of_injury")</f>
        <v>mri_nrn_pattern_of_injury</v>
      </c>
      <c r="M993" s="125"/>
      <c r="N993" s="61" t="s">
        <v>7988</v>
      </c>
      <c r="O993" s="125"/>
      <c r="P993" s="221" t="s">
        <v>3396</v>
      </c>
      <c r="Q993" s="221" t="s">
        <v>3397</v>
      </c>
      <c r="R993" s="223"/>
      <c r="S993" s="223"/>
      <c r="T993" s="125"/>
      <c r="U993" s="125"/>
      <c r="V993" s="125"/>
      <c r="W993" s="125"/>
      <c r="X993" s="125"/>
      <c r="Y993" s="125"/>
      <c r="Z993" s="125"/>
    </row>
    <row r="994">
      <c r="A994" s="329"/>
      <c r="B994" s="119" t="s">
        <v>2835</v>
      </c>
      <c r="C994" s="121" t="s">
        <v>3398</v>
      </c>
      <c r="D994" s="121" t="s">
        <v>2897</v>
      </c>
      <c r="E994" s="221"/>
      <c r="F994" s="123">
        <f t="shared" si="1"/>
        <v>2</v>
      </c>
      <c r="G994" s="121" t="s">
        <v>3399</v>
      </c>
      <c r="H994" s="12"/>
      <c r="I994" s="192" t="str">
        <f>IFERROR(__xludf.DUMMYFUNCTION("regexreplace(lower(C994), ""_"", """")"),"mrinrnpatternofinjuryc")</f>
        <v>mrinrnpatternofinjuryc</v>
      </c>
      <c r="J994" s="192" t="b">
        <f t="shared" si="57"/>
        <v>1</v>
      </c>
      <c r="K994" s="192" t="str">
        <f>IFERROR(__xludf.DUMMYFUNCTION("regexreplace(G994, ""_"", """")"),"mrinrnpatternofinjuryc")</f>
        <v>mrinrnpatternofinjuryc</v>
      </c>
      <c r="L9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994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""$1$2"")"),"mri_nrn_pattern_of_injury_c")</f>
        <v>mri_nrn_pattern_of_injury_c</v>
      </c>
      <c r="M994" s="125"/>
      <c r="N994" s="221"/>
      <c r="O994" s="125"/>
      <c r="P994" s="221" t="s">
        <v>3400</v>
      </c>
      <c r="Q994" s="221" t="s">
        <v>3401</v>
      </c>
      <c r="R994" s="223"/>
      <c r="S994" s="223"/>
      <c r="T994" s="125"/>
      <c r="U994" s="125"/>
      <c r="V994" s="125"/>
      <c r="W994" s="125"/>
      <c r="X994" s="125"/>
      <c r="Y994" s="125"/>
      <c r="Z994" s="125"/>
    </row>
    <row r="995">
      <c r="A995" s="329"/>
      <c r="B995" s="119" t="s">
        <v>2835</v>
      </c>
      <c r="C995" s="121" t="s">
        <v>3402</v>
      </c>
      <c r="D995" s="121" t="s">
        <v>3402</v>
      </c>
      <c r="E995" s="221" t="s">
        <v>3403</v>
      </c>
      <c r="F995" s="123">
        <f t="shared" si="1"/>
        <v>1</v>
      </c>
      <c r="G995" s="121" t="s">
        <v>3404</v>
      </c>
      <c r="H995" s="12"/>
      <c r="I995" s="192" t="str">
        <f>IFERROR(__xludf.DUMMYFUNCTION("regexreplace(lower(C995), ""_"", """")"),"mrinrnpatternofinjuryextent")</f>
        <v>mrinrnpatternofinjuryextent</v>
      </c>
      <c r="J995" s="192" t="b">
        <f t="shared" si="57"/>
        <v>1</v>
      </c>
      <c r="K995" s="192" t="str">
        <f>IFERROR(__xludf.DUMMYFUNCTION("regexreplace(G995, ""_"", """")"),"mrinrnpatternofinjuryextent")</f>
        <v>mrinrnpatternofinjuryextent</v>
      </c>
      <c r="L9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995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""$1$2"")"),"mri_nrn_pattern_of_injury_extent")</f>
        <v>mri_nrn_pattern_of_injury_extent</v>
      </c>
      <c r="M995" s="125"/>
      <c r="N995" s="221"/>
      <c r="O995" s="125"/>
      <c r="P995" s="221"/>
      <c r="Q995" s="221" t="s">
        <v>3405</v>
      </c>
      <c r="R995" s="223"/>
      <c r="S995" s="223"/>
      <c r="T995" s="125"/>
      <c r="U995" s="125"/>
      <c r="V995" s="125"/>
      <c r="W995" s="125"/>
      <c r="X995" s="125"/>
      <c r="Y995" s="125"/>
      <c r="Z995" s="125"/>
    </row>
    <row r="996">
      <c r="A996" s="329"/>
      <c r="B996" s="119" t="s">
        <v>2835</v>
      </c>
      <c r="C996" s="121" t="s">
        <v>3406</v>
      </c>
      <c r="D996" s="121" t="s">
        <v>3402</v>
      </c>
      <c r="E996" s="221"/>
      <c r="F996" s="123">
        <f t="shared" si="1"/>
        <v>1</v>
      </c>
      <c r="G996" s="121" t="s">
        <v>3407</v>
      </c>
      <c r="H996" s="12"/>
      <c r="I996" s="192" t="str">
        <f>IFERROR(__xludf.DUMMYFUNCTION("regexreplace(lower(C996), ""_"", """")"),"mrinrnpatternofinjuryextentc")</f>
        <v>mrinrnpatternofinjuryextentc</v>
      </c>
      <c r="J996" s="192" t="b">
        <f t="shared" si="57"/>
        <v>1</v>
      </c>
      <c r="K996" s="192" t="str">
        <f>IFERROR(__xludf.DUMMYFUNCTION("regexreplace(G996, ""_"", """")"),"mrinrnpatternofinjuryextentc")</f>
        <v>mrinrnpatternofinjuryextentc</v>
      </c>
      <c r="L9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996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""$1$2"")"),"mri_nrn_pattern_of_injury_extent_c")</f>
        <v>mri_nrn_pattern_of_injury_extent_c</v>
      </c>
      <c r="M996" s="125"/>
      <c r="N996" s="221"/>
      <c r="O996" s="125"/>
      <c r="P996" s="221"/>
      <c r="Q996" s="221" t="s">
        <v>3408</v>
      </c>
      <c r="R996" s="223"/>
      <c r="S996" s="223"/>
      <c r="T996" s="125"/>
      <c r="U996" s="125"/>
      <c r="V996" s="125"/>
      <c r="W996" s="125"/>
      <c r="X996" s="125"/>
      <c r="Y996" s="125"/>
      <c r="Z996" s="125"/>
    </row>
    <row r="997">
      <c r="A997" s="329"/>
      <c r="B997" s="119" t="s">
        <v>2835</v>
      </c>
      <c r="C997" s="121" t="s">
        <v>3409</v>
      </c>
      <c r="D997" s="121" t="s">
        <v>3409</v>
      </c>
      <c r="E997" s="221" t="s">
        <v>3410</v>
      </c>
      <c r="F997" s="123">
        <f t="shared" si="1"/>
        <v>1</v>
      </c>
      <c r="G997" s="121" t="s">
        <v>3411</v>
      </c>
      <c r="H997" s="12"/>
      <c r="I997" s="192" t="str">
        <f>IFERROR(__xludf.DUMMYFUNCTION("regexreplace(lower(C997), ""_"", """")"),"mrinrnpatternofinjurylateral")</f>
        <v>mrinrnpatternofinjurylateral</v>
      </c>
      <c r="J997" s="192" t="b">
        <f t="shared" si="57"/>
        <v>1</v>
      </c>
      <c r="K997" s="192" t="str">
        <f>IFERROR(__xludf.DUMMYFUNCTION("regexreplace(G997, ""_"", """")"),"mrinrnpatternofinjurylateral")</f>
        <v>mrinrnpatternofinjurylateral</v>
      </c>
      <c r="L9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997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""$1$2"")"),"mri_nrn_pattern_of_injury_lateral")</f>
        <v>mri_nrn_pattern_of_injury_lateral</v>
      </c>
      <c r="M997" s="125"/>
      <c r="N997" s="221"/>
      <c r="O997" s="125"/>
      <c r="P997" s="221"/>
      <c r="Q997" s="221" t="s">
        <v>3412</v>
      </c>
      <c r="R997" s="223"/>
      <c r="S997" s="223"/>
      <c r="T997" s="125"/>
      <c r="U997" s="125"/>
      <c r="V997" s="125"/>
      <c r="W997" s="125"/>
      <c r="X997" s="125"/>
      <c r="Y997" s="125"/>
      <c r="Z997" s="125"/>
    </row>
    <row r="998">
      <c r="A998" s="329"/>
      <c r="B998" s="119" t="s">
        <v>2835</v>
      </c>
      <c r="C998" s="121" t="s">
        <v>3413</v>
      </c>
      <c r="D998" s="121" t="s">
        <v>3409</v>
      </c>
      <c r="E998" s="221"/>
      <c r="F998" s="123">
        <f t="shared" si="1"/>
        <v>1</v>
      </c>
      <c r="G998" s="121" t="s">
        <v>3414</v>
      </c>
      <c r="H998" s="12"/>
      <c r="I998" s="192" t="str">
        <f>IFERROR(__xludf.DUMMYFUNCTION("regexreplace(lower(C998), ""_"", """")"),"mrinrnpatternofinjurylateralc")</f>
        <v>mrinrnpatternofinjurylateralc</v>
      </c>
      <c r="J998" s="192" t="b">
        <f t="shared" si="57"/>
        <v>1</v>
      </c>
      <c r="K998" s="192" t="str">
        <f>IFERROR(__xludf.DUMMYFUNCTION("regexreplace(G998, ""_"", """")"),"mrinrnpatternofinjurylateralc")</f>
        <v>mrinrnpatternofinjurylateralc</v>
      </c>
      <c r="L9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998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""$1$2"")"),"mri_nrn_pattern_of_injury_lateral_c")</f>
        <v>mri_nrn_pattern_of_injury_lateral_c</v>
      </c>
      <c r="M998" s="125"/>
      <c r="N998" s="221"/>
      <c r="O998" s="125"/>
      <c r="P998" s="221"/>
      <c r="Q998" s="221" t="s">
        <v>3415</v>
      </c>
      <c r="R998" s="223"/>
      <c r="S998" s="223"/>
      <c r="T998" s="125"/>
      <c r="U998" s="125"/>
      <c r="V998" s="125"/>
      <c r="W998" s="125"/>
      <c r="X998" s="125"/>
      <c r="Y998" s="125"/>
      <c r="Z998" s="125"/>
    </row>
    <row r="999">
      <c r="A999" s="329"/>
      <c r="B999" s="119" t="s">
        <v>2835</v>
      </c>
      <c r="C999" s="121" t="s">
        <v>3416</v>
      </c>
      <c r="D999" s="121" t="s">
        <v>16</v>
      </c>
      <c r="E999" s="221" t="s">
        <v>3417</v>
      </c>
      <c r="F999" s="123">
        <f t="shared" si="1"/>
        <v>2</v>
      </c>
      <c r="G999" s="121" t="s">
        <v>3418</v>
      </c>
      <c r="H999" s="12"/>
      <c r="I999" s="192" t="str">
        <f>IFERROR(__xludf.DUMMYFUNCTION("regexreplace(lower(C999), ""_"", """")"),"mricomment")</f>
        <v>mricomment</v>
      </c>
      <c r="J999" s="192" t="b">
        <f t="shared" si="57"/>
        <v>1</v>
      </c>
      <c r="K999" s="192" t="str">
        <f>IFERROR(__xludf.DUMMYFUNCTION("regexreplace(G999, ""_"", """")"),"mricomment")</f>
        <v>mricomment</v>
      </c>
      <c r="L9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999, ""([A-Z])"", ""_$"&amp;"1"")), ""m_r_i"", ""mri""), ""_i_d$"", ""_id""), ""d_n_r"", ""dnr""), ""a_p_g_a_r"", ""apgar""), ""_p_h"", ""_ph""), ""_p_c_o2"", ""_pco2""), ""_p_o2"", ""_po2""), ""_h_c_o3"", ""_hco3""), ""_a_s_t_s_g_o_t"", ""_ast_sgot""), ""_a_l_t_s_g_p_t"", ""_alt_sgp"&amp;"t""),  ""m_eq_per_l"", ""_meqperl""), ""mg_perd_l"", ""_mgperdl""), ""mm_hg"", ""_mmhg""), ""_u_per_l"", ""_uperl""), ""^_"", """"), ""e_k_g"", ""ekg""), ""s_a_e"", ""sae""), ""r_t_i"", ""rti""), ""f_l_a_i_r"", ""flair""), ""g_r_e_s_w_i"", ""greswi""), """&amp;"s_p_g_r"", ""spgr""), ""d_w_i"", ""dwi""), ""a_d_c"", ""adc""), ""m_r_s"", ""mrs""), ""_c_t"", ""_ct""), ""p_l_i_c"", ""plic""), ""a_l_i_c"", ""alic""), ""n_r_n"", ""nrn""), ""b_g_t"", ""bgt""), ""e_c_m_o"", ""ecmo""), ""c_n_s"", ""cns""), ""c_p_a_p"", """&amp;"cpap""), ""fi_o2"", ""fio2""), ""e_e_g"", ""eeg""), ""h_i_e"", ""hie""), ""(\d)_([a-z])"", ""$1$2"")"),"mri_comment")</f>
        <v>mri_comment</v>
      </c>
      <c r="M999" s="125"/>
      <c r="N999" s="221"/>
      <c r="O999" s="125"/>
      <c r="P999" s="221" t="s">
        <v>3419</v>
      </c>
      <c r="Q999" s="221" t="s">
        <v>3420</v>
      </c>
      <c r="R999" s="223"/>
      <c r="S999" s="223"/>
      <c r="T999" s="125"/>
      <c r="U999" s="125"/>
      <c r="V999" s="125"/>
      <c r="W999" s="125"/>
      <c r="X999" s="125"/>
      <c r="Y999" s="125"/>
      <c r="Z999" s="125"/>
    </row>
    <row r="1000">
      <c r="A1000" s="329"/>
      <c r="B1000" s="119"/>
      <c r="C1000" s="121"/>
      <c r="D1000" s="121"/>
      <c r="E1000" s="221"/>
      <c r="F1000" s="123">
        <f t="shared" si="1"/>
        <v>0</v>
      </c>
      <c r="G1000" s="121"/>
      <c r="H1000" s="12"/>
      <c r="I1000" s="192"/>
      <c r="J1000" s="192"/>
      <c r="K1000" s="192"/>
      <c r="L1000" s="121"/>
      <c r="M1000" s="125"/>
      <c r="N1000" s="221"/>
      <c r="O1000" s="125"/>
      <c r="P1000" s="221"/>
      <c r="Q1000" s="221"/>
      <c r="R1000" s="223"/>
      <c r="S1000" s="223"/>
      <c r="T1000" s="125"/>
      <c r="U1000" s="125"/>
      <c r="V1000" s="125"/>
      <c r="W1000" s="125"/>
      <c r="X1000" s="125"/>
      <c r="Y1000" s="125"/>
      <c r="Z1000" s="125"/>
    </row>
    <row r="1001">
      <c r="A1001" s="329"/>
      <c r="B1001" s="119" t="s">
        <v>3113</v>
      </c>
      <c r="C1001" s="121" t="s">
        <v>7989</v>
      </c>
      <c r="D1001" s="121"/>
      <c r="E1001" s="221"/>
      <c r="F1001" s="123">
        <f t="shared" si="1"/>
        <v>1</v>
      </c>
      <c r="G1001" s="121"/>
      <c r="H1001" s="12"/>
      <c r="I1001" s="192"/>
      <c r="J1001" s="192"/>
      <c r="K1001" s="192"/>
      <c r="L1001" s="121"/>
      <c r="M1001" s="125"/>
      <c r="N1001" s="221"/>
      <c r="O1001" s="122" t="s">
        <v>7990</v>
      </c>
      <c r="P1001" s="221"/>
      <c r="Q1001" s="221"/>
      <c r="R1001" s="223"/>
      <c r="S1001" s="223"/>
      <c r="T1001" s="125"/>
      <c r="U1001" s="125"/>
      <c r="V1001" s="125"/>
      <c r="W1001" s="125"/>
      <c r="X1001" s="125"/>
      <c r="Y1001" s="125"/>
      <c r="Z1001" s="125"/>
    </row>
    <row r="1002">
      <c r="A1002" s="329"/>
      <c r="B1002" s="119"/>
      <c r="C1002" s="121"/>
      <c r="D1002" s="121"/>
      <c r="E1002" s="221"/>
      <c r="F1002" s="123">
        <f t="shared" si="1"/>
        <v>1</v>
      </c>
      <c r="G1002" s="121"/>
      <c r="H1002" s="12"/>
      <c r="I1002" s="192"/>
      <c r="J1002" s="192"/>
      <c r="K1002" s="192"/>
      <c r="L1002" s="121"/>
      <c r="M1002" s="125"/>
      <c r="N1002" s="221"/>
      <c r="O1002" s="122" t="s">
        <v>7991</v>
      </c>
      <c r="P1002" s="221"/>
      <c r="Q1002" s="221"/>
      <c r="R1002" s="223"/>
      <c r="S1002" s="223"/>
      <c r="T1002" s="125"/>
      <c r="U1002" s="125"/>
      <c r="V1002" s="125"/>
      <c r="W1002" s="125"/>
      <c r="X1002" s="125"/>
      <c r="Y1002" s="125"/>
      <c r="Z1002" s="125"/>
    </row>
    <row r="1003">
      <c r="A1003" s="329"/>
      <c r="B1003" s="119"/>
      <c r="C1003" s="121" t="s">
        <v>7992</v>
      </c>
      <c r="D1003" s="121"/>
      <c r="E1003" s="221"/>
      <c r="F1003" s="123">
        <f t="shared" si="1"/>
        <v>1</v>
      </c>
      <c r="G1003" s="121"/>
      <c r="H1003" s="12"/>
      <c r="I1003" s="192"/>
      <c r="J1003" s="192"/>
      <c r="K1003" s="192"/>
      <c r="L1003" s="121"/>
      <c r="M1003" s="125"/>
      <c r="N1003" s="221"/>
      <c r="O1003" s="122" t="s">
        <v>7993</v>
      </c>
      <c r="P1003" s="221"/>
      <c r="Q1003" s="221"/>
      <c r="R1003" s="223"/>
      <c r="S1003" s="223"/>
      <c r="T1003" s="125"/>
      <c r="U1003" s="125"/>
      <c r="V1003" s="125"/>
      <c r="W1003" s="125"/>
      <c r="X1003" s="125"/>
      <c r="Y1003" s="125"/>
      <c r="Z1003" s="125"/>
    </row>
    <row r="1004">
      <c r="A1004" s="329"/>
      <c r="B1004" s="119"/>
      <c r="C1004" s="121" t="s">
        <v>7994</v>
      </c>
      <c r="D1004" s="121"/>
      <c r="E1004" s="221"/>
      <c r="F1004" s="123">
        <f t="shared" si="1"/>
        <v>1</v>
      </c>
      <c r="G1004" s="121"/>
      <c r="H1004" s="12"/>
      <c r="I1004" s="192"/>
      <c r="J1004" s="192"/>
      <c r="K1004" s="192"/>
      <c r="L1004" s="121"/>
      <c r="M1004" s="125"/>
      <c r="N1004" s="221"/>
      <c r="O1004" s="122" t="s">
        <v>7995</v>
      </c>
      <c r="P1004" s="221"/>
      <c r="Q1004" s="221"/>
      <c r="R1004" s="223"/>
      <c r="S1004" s="223"/>
      <c r="T1004" s="125"/>
      <c r="U1004" s="125"/>
      <c r="V1004" s="125"/>
      <c r="W1004" s="125"/>
      <c r="X1004" s="125"/>
      <c r="Y1004" s="125"/>
      <c r="Z1004" s="125"/>
    </row>
    <row r="1005">
      <c r="A1005" s="329"/>
      <c r="B1005" s="119"/>
      <c r="C1005" s="121" t="s">
        <v>7996</v>
      </c>
      <c r="D1005" s="121"/>
      <c r="E1005" s="221"/>
      <c r="F1005" s="123">
        <f t="shared" si="1"/>
        <v>1</v>
      </c>
      <c r="G1005" s="121"/>
      <c r="H1005" s="12"/>
      <c r="I1005" s="192"/>
      <c r="J1005" s="192"/>
      <c r="K1005" s="192"/>
      <c r="L1005" s="121"/>
      <c r="M1005" s="125"/>
      <c r="N1005" s="221"/>
      <c r="O1005" s="122" t="s">
        <v>7997</v>
      </c>
      <c r="P1005" s="221"/>
      <c r="Q1005" s="221"/>
      <c r="R1005" s="223"/>
      <c r="S1005" s="223"/>
      <c r="T1005" s="125"/>
      <c r="U1005" s="125"/>
      <c r="V1005" s="125"/>
      <c r="W1005" s="125"/>
      <c r="X1005" s="125"/>
      <c r="Y1005" s="125"/>
      <c r="Z1005" s="125"/>
    </row>
    <row r="1006">
      <c r="A1006" s="329"/>
      <c r="B1006" s="119"/>
      <c r="C1006" s="121" t="s">
        <v>7998</v>
      </c>
      <c r="D1006" s="121"/>
      <c r="E1006" s="221"/>
      <c r="F1006" s="123">
        <f t="shared" si="1"/>
        <v>1</v>
      </c>
      <c r="G1006" s="121"/>
      <c r="H1006" s="12"/>
      <c r="I1006" s="192"/>
      <c r="J1006" s="192"/>
      <c r="K1006" s="192"/>
      <c r="L1006" s="121"/>
      <c r="M1006" s="125"/>
      <c r="N1006" s="221"/>
      <c r="O1006" s="122" t="s">
        <v>7999</v>
      </c>
      <c r="P1006" s="221"/>
      <c r="Q1006" s="221"/>
      <c r="R1006" s="223"/>
      <c r="S1006" s="223"/>
      <c r="T1006" s="125"/>
      <c r="U1006" s="125"/>
      <c r="V1006" s="125"/>
      <c r="W1006" s="125"/>
      <c r="X1006" s="125"/>
      <c r="Y1006" s="125"/>
      <c r="Z1006" s="125"/>
    </row>
    <row r="1007">
      <c r="A1007" s="329"/>
      <c r="B1007" s="119"/>
      <c r="C1007" s="121" t="s">
        <v>8000</v>
      </c>
      <c r="D1007" s="121"/>
      <c r="E1007" s="221"/>
      <c r="F1007" s="123">
        <f t="shared" si="1"/>
        <v>1</v>
      </c>
      <c r="G1007" s="121"/>
      <c r="H1007" s="12"/>
      <c r="I1007" s="192"/>
      <c r="J1007" s="192"/>
      <c r="K1007" s="192"/>
      <c r="L1007" s="121"/>
      <c r="M1007" s="125"/>
      <c r="N1007" s="221"/>
      <c r="O1007" s="122" t="s">
        <v>8001</v>
      </c>
      <c r="P1007" s="221"/>
      <c r="Q1007" s="221"/>
      <c r="R1007" s="223"/>
      <c r="S1007" s="223"/>
      <c r="T1007" s="125"/>
      <c r="U1007" s="125"/>
      <c r="V1007" s="125"/>
      <c r="W1007" s="125"/>
      <c r="X1007" s="125"/>
      <c r="Y1007" s="125"/>
      <c r="Z1007" s="125"/>
    </row>
    <row r="1008">
      <c r="A1008" s="329"/>
      <c r="B1008" s="119"/>
      <c r="C1008" s="121" t="s">
        <v>8002</v>
      </c>
      <c r="D1008" s="121"/>
      <c r="E1008" s="221"/>
      <c r="F1008" s="123">
        <f t="shared" si="1"/>
        <v>1</v>
      </c>
      <c r="G1008" s="121"/>
      <c r="H1008" s="12"/>
      <c r="I1008" s="192"/>
      <c r="J1008" s="192"/>
      <c r="K1008" s="192"/>
      <c r="L1008" s="121"/>
      <c r="M1008" s="125"/>
      <c r="N1008" s="221"/>
      <c r="O1008" s="122" t="s">
        <v>8003</v>
      </c>
      <c r="P1008" s="221"/>
      <c r="Q1008" s="221"/>
      <c r="R1008" s="223"/>
      <c r="S1008" s="223"/>
      <c r="T1008" s="125"/>
      <c r="U1008" s="125"/>
      <c r="V1008" s="125"/>
      <c r="W1008" s="125"/>
      <c r="X1008" s="125"/>
      <c r="Y1008" s="125"/>
      <c r="Z1008" s="125"/>
    </row>
    <row r="1009">
      <c r="A1009" s="329"/>
      <c r="B1009" s="119"/>
      <c r="C1009" s="121" t="s">
        <v>8004</v>
      </c>
      <c r="D1009" s="121"/>
      <c r="E1009" s="221"/>
      <c r="F1009" s="123">
        <f t="shared" si="1"/>
        <v>1</v>
      </c>
      <c r="G1009" s="121"/>
      <c r="H1009" s="12"/>
      <c r="I1009" s="192"/>
      <c r="J1009" s="192"/>
      <c r="K1009" s="192"/>
      <c r="L1009" s="121"/>
      <c r="M1009" s="125"/>
      <c r="N1009" s="221"/>
      <c r="O1009" s="122" t="s">
        <v>8005</v>
      </c>
      <c r="P1009" s="221"/>
      <c r="Q1009" s="221"/>
      <c r="R1009" s="223"/>
      <c r="S1009" s="223"/>
      <c r="T1009" s="125"/>
      <c r="U1009" s="125"/>
      <c r="V1009" s="125"/>
      <c r="W1009" s="125"/>
      <c r="X1009" s="125"/>
      <c r="Y1009" s="125"/>
      <c r="Z1009" s="125"/>
    </row>
    <row r="1010">
      <c r="A1010" s="329"/>
      <c r="B1010" s="119"/>
      <c r="C1010" s="121" t="s">
        <v>8006</v>
      </c>
      <c r="D1010" s="121"/>
      <c r="E1010" s="221"/>
      <c r="F1010" s="123">
        <f t="shared" si="1"/>
        <v>1</v>
      </c>
      <c r="G1010" s="121"/>
      <c r="H1010" s="12"/>
      <c r="I1010" s="192"/>
      <c r="J1010" s="192"/>
      <c r="K1010" s="192"/>
      <c r="L1010" s="121"/>
      <c r="M1010" s="125"/>
      <c r="N1010" s="221"/>
      <c r="O1010" s="122" t="s">
        <v>8007</v>
      </c>
      <c r="P1010" s="221"/>
      <c r="Q1010" s="221"/>
      <c r="R1010" s="223"/>
      <c r="S1010" s="223"/>
      <c r="T1010" s="125"/>
      <c r="U1010" s="125"/>
      <c r="V1010" s="125"/>
      <c r="W1010" s="125"/>
      <c r="X1010" s="125"/>
      <c r="Y1010" s="125"/>
      <c r="Z1010" s="125"/>
    </row>
    <row r="1011">
      <c r="A1011" s="329"/>
      <c r="B1011" s="119"/>
      <c r="C1011" s="121" t="s">
        <v>8008</v>
      </c>
      <c r="D1011" s="121"/>
      <c r="E1011" s="221"/>
      <c r="F1011" s="123">
        <f t="shared" si="1"/>
        <v>1</v>
      </c>
      <c r="G1011" s="121"/>
      <c r="H1011" s="12"/>
      <c r="I1011" s="192"/>
      <c r="J1011" s="192"/>
      <c r="K1011" s="192"/>
      <c r="L1011" s="121"/>
      <c r="M1011" s="125"/>
      <c r="N1011" s="221"/>
      <c r="O1011" s="122" t="s">
        <v>8009</v>
      </c>
      <c r="P1011" s="221"/>
      <c r="Q1011" s="221"/>
      <c r="R1011" s="223"/>
      <c r="S1011" s="223"/>
      <c r="T1011" s="125"/>
      <c r="U1011" s="125"/>
      <c r="V1011" s="125"/>
      <c r="W1011" s="125"/>
      <c r="X1011" s="125"/>
      <c r="Y1011" s="125"/>
      <c r="Z1011" s="125"/>
    </row>
    <row r="1012">
      <c r="A1012" s="329"/>
      <c r="B1012" s="119"/>
      <c r="C1012" s="121" t="s">
        <v>8010</v>
      </c>
      <c r="D1012" s="121"/>
      <c r="E1012" s="221"/>
      <c r="F1012" s="123">
        <f t="shared" si="1"/>
        <v>1</v>
      </c>
      <c r="G1012" s="121"/>
      <c r="H1012" s="12"/>
      <c r="I1012" s="192"/>
      <c r="J1012" s="192"/>
      <c r="K1012" s="192"/>
      <c r="L1012" s="121"/>
      <c r="M1012" s="125"/>
      <c r="N1012" s="221"/>
      <c r="O1012" s="122" t="s">
        <v>8011</v>
      </c>
      <c r="P1012" s="221"/>
      <c r="Q1012" s="221"/>
      <c r="R1012" s="223"/>
      <c r="S1012" s="223"/>
      <c r="T1012" s="125"/>
      <c r="U1012" s="125"/>
      <c r="V1012" s="125"/>
      <c r="W1012" s="125"/>
      <c r="X1012" s="125"/>
      <c r="Y1012" s="125"/>
      <c r="Z1012" s="125"/>
    </row>
    <row r="1013">
      <c r="A1013" s="329"/>
      <c r="B1013" s="119"/>
      <c r="C1013" s="121" t="s">
        <v>8012</v>
      </c>
      <c r="D1013" s="121"/>
      <c r="E1013" s="221"/>
      <c r="F1013" s="123">
        <f t="shared" si="1"/>
        <v>1</v>
      </c>
      <c r="G1013" s="121"/>
      <c r="H1013" s="12"/>
      <c r="I1013" s="192"/>
      <c r="J1013" s="192"/>
      <c r="K1013" s="192"/>
      <c r="L1013" s="121"/>
      <c r="M1013" s="125"/>
      <c r="N1013" s="221"/>
      <c r="O1013" s="122" t="s">
        <v>8013</v>
      </c>
      <c r="P1013" s="221"/>
      <c r="Q1013" s="221"/>
      <c r="R1013" s="223"/>
      <c r="S1013" s="223"/>
      <c r="T1013" s="125"/>
      <c r="U1013" s="125"/>
      <c r="V1013" s="125"/>
      <c r="W1013" s="125"/>
      <c r="X1013" s="125"/>
      <c r="Y1013" s="125"/>
      <c r="Z1013" s="125"/>
    </row>
    <row r="1014">
      <c r="A1014" s="329"/>
      <c r="B1014" s="119"/>
      <c r="C1014" s="121" t="s">
        <v>8014</v>
      </c>
      <c r="D1014" s="121"/>
      <c r="E1014" s="221"/>
      <c r="F1014" s="123">
        <f t="shared" si="1"/>
        <v>1</v>
      </c>
      <c r="G1014" s="121"/>
      <c r="H1014" s="12"/>
      <c r="I1014" s="192"/>
      <c r="J1014" s="192"/>
      <c r="K1014" s="192"/>
      <c r="L1014" s="121"/>
      <c r="M1014" s="125"/>
      <c r="N1014" s="221"/>
      <c r="O1014" s="122" t="s">
        <v>8015</v>
      </c>
      <c r="P1014" s="221"/>
      <c r="Q1014" s="221"/>
      <c r="R1014" s="223"/>
      <c r="S1014" s="223"/>
      <c r="T1014" s="125"/>
      <c r="U1014" s="125"/>
      <c r="V1014" s="125"/>
      <c r="W1014" s="125"/>
      <c r="X1014" s="125"/>
      <c r="Y1014" s="125"/>
      <c r="Z1014" s="125"/>
    </row>
    <row r="1015">
      <c r="A1015" s="329"/>
      <c r="B1015" s="119"/>
      <c r="C1015" s="121" t="s">
        <v>8016</v>
      </c>
      <c r="D1015" s="121"/>
      <c r="E1015" s="221"/>
      <c r="F1015" s="123">
        <f t="shared" si="1"/>
        <v>1</v>
      </c>
      <c r="G1015" s="121"/>
      <c r="H1015" s="12"/>
      <c r="I1015" s="192"/>
      <c r="J1015" s="192"/>
      <c r="K1015" s="192"/>
      <c r="L1015" s="121"/>
      <c r="M1015" s="125"/>
      <c r="N1015" s="221"/>
      <c r="O1015" s="122" t="s">
        <v>8017</v>
      </c>
      <c r="P1015" s="221"/>
      <c r="Q1015" s="221"/>
      <c r="R1015" s="223"/>
      <c r="S1015" s="223"/>
      <c r="T1015" s="125"/>
      <c r="U1015" s="125"/>
      <c r="V1015" s="125"/>
      <c r="W1015" s="125"/>
      <c r="X1015" s="125"/>
      <c r="Y1015" s="125"/>
      <c r="Z1015" s="125"/>
    </row>
    <row r="1016">
      <c r="A1016" s="329"/>
      <c r="B1016" s="119"/>
      <c r="C1016" s="121" t="s">
        <v>8018</v>
      </c>
      <c r="D1016" s="121"/>
      <c r="E1016" s="221"/>
      <c r="F1016" s="123">
        <f t="shared" si="1"/>
        <v>1</v>
      </c>
      <c r="G1016" s="121"/>
      <c r="H1016" s="12"/>
      <c r="I1016" s="192"/>
      <c r="J1016" s="192"/>
      <c r="K1016" s="192"/>
      <c r="L1016" s="121"/>
      <c r="M1016" s="125"/>
      <c r="N1016" s="221"/>
      <c r="O1016" s="122" t="s">
        <v>8019</v>
      </c>
      <c r="P1016" s="221"/>
      <c r="Q1016" s="221"/>
      <c r="R1016" s="223"/>
      <c r="S1016" s="223"/>
      <c r="T1016" s="125"/>
      <c r="U1016" s="125"/>
      <c r="V1016" s="125"/>
      <c r="W1016" s="125"/>
      <c r="X1016" s="125"/>
      <c r="Y1016" s="125"/>
      <c r="Z1016" s="125"/>
    </row>
    <row r="1017">
      <c r="A1017" s="329"/>
      <c r="B1017" s="119"/>
      <c r="C1017" s="121" t="s">
        <v>8020</v>
      </c>
      <c r="D1017" s="121"/>
      <c r="E1017" s="221"/>
      <c r="F1017" s="123">
        <f t="shared" si="1"/>
        <v>1</v>
      </c>
      <c r="G1017" s="121"/>
      <c r="H1017" s="12"/>
      <c r="I1017" s="192"/>
      <c r="J1017" s="192"/>
      <c r="K1017" s="192"/>
      <c r="L1017" s="121"/>
      <c r="M1017" s="125"/>
      <c r="N1017" s="221"/>
      <c r="O1017" s="122" t="s">
        <v>8021</v>
      </c>
      <c r="P1017" s="221"/>
      <c r="Q1017" s="221"/>
      <c r="R1017" s="223"/>
      <c r="S1017" s="223"/>
      <c r="T1017" s="125"/>
      <c r="U1017" s="125"/>
      <c r="V1017" s="125"/>
      <c r="W1017" s="125"/>
      <c r="X1017" s="125"/>
      <c r="Y1017" s="125"/>
      <c r="Z1017" s="125"/>
    </row>
    <row r="1018">
      <c r="A1018" s="329"/>
      <c r="B1018" s="119"/>
      <c r="C1018" s="121" t="s">
        <v>8022</v>
      </c>
      <c r="D1018" s="121"/>
      <c r="E1018" s="221"/>
      <c r="F1018" s="123">
        <f t="shared" si="1"/>
        <v>1</v>
      </c>
      <c r="G1018" s="121"/>
      <c r="H1018" s="12"/>
      <c r="I1018" s="192"/>
      <c r="J1018" s="192"/>
      <c r="K1018" s="192"/>
      <c r="L1018" s="121"/>
      <c r="M1018" s="125"/>
      <c r="N1018" s="221"/>
      <c r="O1018" s="122" t="s">
        <v>8023</v>
      </c>
      <c r="P1018" s="221"/>
      <c r="Q1018" s="221"/>
      <c r="R1018" s="223"/>
      <c r="S1018" s="223"/>
      <c r="T1018" s="125"/>
      <c r="U1018" s="125"/>
      <c r="V1018" s="125"/>
      <c r="W1018" s="125"/>
      <c r="X1018" s="125"/>
      <c r="Y1018" s="125"/>
      <c r="Z1018" s="125"/>
    </row>
    <row r="1019">
      <c r="A1019" s="329"/>
      <c r="B1019" s="119"/>
      <c r="C1019" s="121" t="s">
        <v>8024</v>
      </c>
      <c r="D1019" s="121"/>
      <c r="E1019" s="221"/>
      <c r="F1019" s="123">
        <f t="shared" si="1"/>
        <v>1</v>
      </c>
      <c r="G1019" s="121"/>
      <c r="H1019" s="12"/>
      <c r="I1019" s="192"/>
      <c r="J1019" s="192"/>
      <c r="K1019" s="192"/>
      <c r="L1019" s="121"/>
      <c r="M1019" s="125"/>
      <c r="N1019" s="221"/>
      <c r="O1019" s="122" t="s">
        <v>8025</v>
      </c>
      <c r="P1019" s="221"/>
      <c r="Q1019" s="221"/>
      <c r="R1019" s="223"/>
      <c r="S1019" s="223"/>
      <c r="T1019" s="125"/>
      <c r="U1019" s="125"/>
      <c r="V1019" s="125"/>
      <c r="W1019" s="125"/>
      <c r="X1019" s="125"/>
      <c r="Y1019" s="125"/>
      <c r="Z1019" s="125"/>
    </row>
    <row r="1020">
      <c r="A1020" s="329"/>
      <c r="B1020" s="119"/>
      <c r="C1020" s="121" t="s">
        <v>8026</v>
      </c>
      <c r="D1020" s="121"/>
      <c r="E1020" s="221"/>
      <c r="F1020" s="123">
        <f t="shared" si="1"/>
        <v>1</v>
      </c>
      <c r="G1020" s="121"/>
      <c r="H1020" s="12"/>
      <c r="I1020" s="192"/>
      <c r="J1020" s="192"/>
      <c r="K1020" s="192"/>
      <c r="L1020" s="121"/>
      <c r="M1020" s="125"/>
      <c r="N1020" s="221"/>
      <c r="O1020" s="122" t="s">
        <v>8027</v>
      </c>
      <c r="P1020" s="221"/>
      <c r="Q1020" s="221"/>
      <c r="R1020" s="223"/>
      <c r="S1020" s="223"/>
      <c r="T1020" s="125"/>
      <c r="U1020" s="125"/>
      <c r="V1020" s="125"/>
      <c r="W1020" s="125"/>
      <c r="X1020" s="125"/>
      <c r="Y1020" s="125"/>
      <c r="Z1020" s="125"/>
    </row>
    <row r="1021">
      <c r="A1021" s="329"/>
      <c r="B1021" s="119"/>
      <c r="C1021" s="121" t="s">
        <v>8028</v>
      </c>
      <c r="D1021" s="121"/>
      <c r="E1021" s="221"/>
      <c r="F1021" s="123">
        <f t="shared" si="1"/>
        <v>1</v>
      </c>
      <c r="G1021" s="121"/>
      <c r="H1021" s="12"/>
      <c r="I1021" s="192"/>
      <c r="J1021" s="192"/>
      <c r="K1021" s="192"/>
      <c r="L1021" s="121"/>
      <c r="M1021" s="125"/>
      <c r="N1021" s="221"/>
      <c r="O1021" s="122" t="s">
        <v>8029</v>
      </c>
      <c r="P1021" s="221"/>
      <c r="Q1021" s="221"/>
      <c r="R1021" s="223"/>
      <c r="S1021" s="223"/>
      <c r="T1021" s="125"/>
      <c r="U1021" s="125"/>
      <c r="V1021" s="125"/>
      <c r="W1021" s="125"/>
      <c r="X1021" s="125"/>
      <c r="Y1021" s="125"/>
      <c r="Z1021" s="125"/>
    </row>
    <row r="1022">
      <c r="A1022" s="329"/>
      <c r="B1022" s="119"/>
      <c r="C1022" s="121" t="s">
        <v>8030</v>
      </c>
      <c r="D1022" s="121"/>
      <c r="E1022" s="221"/>
      <c r="F1022" s="123">
        <f t="shared" si="1"/>
        <v>1</v>
      </c>
      <c r="G1022" s="121"/>
      <c r="H1022" s="12"/>
      <c r="I1022" s="192"/>
      <c r="J1022" s="192"/>
      <c r="K1022" s="192"/>
      <c r="L1022" s="121"/>
      <c r="M1022" s="125"/>
      <c r="N1022" s="221"/>
      <c r="O1022" s="122" t="s">
        <v>8031</v>
      </c>
      <c r="P1022" s="221"/>
      <c r="Q1022" s="221"/>
      <c r="R1022" s="223"/>
      <c r="S1022" s="223"/>
      <c r="T1022" s="125"/>
      <c r="U1022" s="125"/>
      <c r="V1022" s="125"/>
      <c r="W1022" s="125"/>
      <c r="X1022" s="125"/>
      <c r="Y1022" s="125"/>
      <c r="Z1022" s="125"/>
    </row>
    <row r="1023">
      <c r="A1023" s="329"/>
      <c r="B1023" s="119"/>
      <c r="C1023" s="121" t="s">
        <v>8032</v>
      </c>
      <c r="D1023" s="121"/>
      <c r="E1023" s="221"/>
      <c r="F1023" s="123">
        <f t="shared" si="1"/>
        <v>1</v>
      </c>
      <c r="G1023" s="121"/>
      <c r="H1023" s="12"/>
      <c r="I1023" s="192"/>
      <c r="J1023" s="192"/>
      <c r="K1023" s="192"/>
      <c r="L1023" s="121"/>
      <c r="M1023" s="125"/>
      <c r="N1023" s="221"/>
      <c r="O1023" s="122" t="s">
        <v>8033</v>
      </c>
      <c r="P1023" s="221"/>
      <c r="Q1023" s="221"/>
      <c r="R1023" s="223"/>
      <c r="S1023" s="223"/>
      <c r="T1023" s="125"/>
      <c r="U1023" s="125"/>
      <c r="V1023" s="125"/>
      <c r="W1023" s="125"/>
      <c r="X1023" s="125"/>
      <c r="Y1023" s="125"/>
      <c r="Z1023" s="125"/>
    </row>
    <row r="1024">
      <c r="A1024" s="329"/>
      <c r="B1024" s="119"/>
      <c r="C1024" s="121" t="s">
        <v>8034</v>
      </c>
      <c r="D1024" s="121"/>
      <c r="E1024" s="221"/>
      <c r="F1024" s="123">
        <f t="shared" si="1"/>
        <v>1</v>
      </c>
      <c r="G1024" s="121"/>
      <c r="H1024" s="12"/>
      <c r="I1024" s="192"/>
      <c r="J1024" s="192"/>
      <c r="K1024" s="192"/>
      <c r="L1024" s="121"/>
      <c r="M1024" s="125"/>
      <c r="N1024" s="221"/>
      <c r="O1024" s="122" t="s">
        <v>8035</v>
      </c>
      <c r="P1024" s="221"/>
      <c r="Q1024" s="221"/>
      <c r="R1024" s="223"/>
      <c r="S1024" s="223"/>
      <c r="T1024" s="125"/>
      <c r="U1024" s="125"/>
      <c r="V1024" s="125"/>
      <c r="W1024" s="125"/>
      <c r="X1024" s="125"/>
      <c r="Y1024" s="125"/>
      <c r="Z1024" s="125"/>
    </row>
    <row r="1025">
      <c r="A1025" s="329"/>
      <c r="B1025" s="119"/>
      <c r="C1025" s="121" t="s">
        <v>8036</v>
      </c>
      <c r="D1025" s="121"/>
      <c r="E1025" s="221"/>
      <c r="F1025" s="123">
        <f t="shared" si="1"/>
        <v>1</v>
      </c>
      <c r="G1025" s="121"/>
      <c r="H1025" s="12"/>
      <c r="I1025" s="192"/>
      <c r="J1025" s="192"/>
      <c r="K1025" s="192"/>
      <c r="L1025" s="121"/>
      <c r="M1025" s="125"/>
      <c r="N1025" s="221"/>
      <c r="O1025" s="122" t="s">
        <v>8037</v>
      </c>
      <c r="P1025" s="221"/>
      <c r="Q1025" s="221"/>
      <c r="R1025" s="223"/>
      <c r="S1025" s="223"/>
      <c r="T1025" s="125"/>
      <c r="U1025" s="125"/>
      <c r="V1025" s="125"/>
      <c r="W1025" s="125"/>
      <c r="X1025" s="125"/>
      <c r="Y1025" s="125"/>
      <c r="Z1025" s="125"/>
    </row>
    <row r="1026">
      <c r="A1026" s="329"/>
      <c r="B1026" s="119"/>
      <c r="C1026" s="121" t="s">
        <v>8038</v>
      </c>
      <c r="D1026" s="121"/>
      <c r="E1026" s="221"/>
      <c r="F1026" s="123">
        <f t="shared" si="1"/>
        <v>1</v>
      </c>
      <c r="G1026" s="121"/>
      <c r="H1026" s="12"/>
      <c r="I1026" s="192"/>
      <c r="J1026" s="192"/>
      <c r="K1026" s="192"/>
      <c r="L1026" s="121"/>
      <c r="M1026" s="125"/>
      <c r="N1026" s="221"/>
      <c r="O1026" s="122" t="s">
        <v>8039</v>
      </c>
      <c r="P1026" s="221"/>
      <c r="Q1026" s="221"/>
      <c r="R1026" s="223"/>
      <c r="S1026" s="223"/>
      <c r="T1026" s="125"/>
      <c r="U1026" s="125"/>
      <c r="V1026" s="125"/>
      <c r="W1026" s="125"/>
      <c r="X1026" s="125"/>
      <c r="Y1026" s="125"/>
      <c r="Z1026" s="125"/>
    </row>
    <row r="1027">
      <c r="A1027" s="329"/>
      <c r="B1027" s="119"/>
      <c r="C1027" s="121" t="s">
        <v>8040</v>
      </c>
      <c r="D1027" s="121"/>
      <c r="E1027" s="221"/>
      <c r="F1027" s="123">
        <f t="shared" si="1"/>
        <v>1</v>
      </c>
      <c r="G1027" s="121"/>
      <c r="H1027" s="12"/>
      <c r="I1027" s="192"/>
      <c r="J1027" s="192"/>
      <c r="K1027" s="192"/>
      <c r="L1027" s="121"/>
      <c r="M1027" s="125"/>
      <c r="N1027" s="221"/>
      <c r="O1027" s="122" t="s">
        <v>8041</v>
      </c>
      <c r="P1027" s="221"/>
      <c r="Q1027" s="221"/>
      <c r="R1027" s="223"/>
      <c r="S1027" s="223"/>
      <c r="T1027" s="125"/>
      <c r="U1027" s="125"/>
      <c r="V1027" s="125"/>
      <c r="W1027" s="125"/>
      <c r="X1027" s="125"/>
      <c r="Y1027" s="125"/>
      <c r="Z1027" s="125"/>
    </row>
    <row r="1028">
      <c r="A1028" s="329"/>
      <c r="B1028" s="119"/>
      <c r="C1028" s="121" t="s">
        <v>8042</v>
      </c>
      <c r="D1028" s="121"/>
      <c r="E1028" s="221"/>
      <c r="F1028" s="123">
        <f t="shared" si="1"/>
        <v>1</v>
      </c>
      <c r="G1028" s="121"/>
      <c r="H1028" s="12"/>
      <c r="I1028" s="192"/>
      <c r="J1028" s="192"/>
      <c r="K1028" s="192"/>
      <c r="L1028" s="121"/>
      <c r="M1028" s="125"/>
      <c r="N1028" s="221"/>
      <c r="O1028" s="122" t="s">
        <v>8043</v>
      </c>
      <c r="P1028" s="221"/>
      <c r="Q1028" s="221"/>
      <c r="R1028" s="223"/>
      <c r="S1028" s="223"/>
      <c r="T1028" s="125"/>
      <c r="U1028" s="125"/>
      <c r="V1028" s="125"/>
      <c r="W1028" s="125"/>
      <c r="X1028" s="125"/>
      <c r="Y1028" s="125"/>
      <c r="Z1028" s="125"/>
    </row>
    <row r="1029">
      <c r="A1029" s="329"/>
      <c r="B1029" s="119"/>
      <c r="C1029" s="121" t="s">
        <v>8044</v>
      </c>
      <c r="D1029" s="121"/>
      <c r="E1029" s="221"/>
      <c r="F1029" s="123">
        <f t="shared" si="1"/>
        <v>1</v>
      </c>
      <c r="G1029" s="121"/>
      <c r="H1029" s="12"/>
      <c r="I1029" s="192"/>
      <c r="J1029" s="192"/>
      <c r="K1029" s="192"/>
      <c r="L1029" s="121"/>
      <c r="M1029" s="125"/>
      <c r="N1029" s="221"/>
      <c r="O1029" s="122" t="s">
        <v>8045</v>
      </c>
      <c r="P1029" s="221"/>
      <c r="Q1029" s="221"/>
      <c r="R1029" s="223"/>
      <c r="S1029" s="223"/>
      <c r="T1029" s="125"/>
      <c r="U1029" s="125"/>
      <c r="V1029" s="125"/>
      <c r="W1029" s="125"/>
      <c r="X1029" s="125"/>
      <c r="Y1029" s="125"/>
      <c r="Z1029" s="125"/>
    </row>
    <row r="1030">
      <c r="A1030" s="329"/>
      <c r="B1030" s="119"/>
      <c r="C1030" s="121" t="s">
        <v>8046</v>
      </c>
      <c r="D1030" s="121"/>
      <c r="E1030" s="221"/>
      <c r="F1030" s="123">
        <f t="shared" si="1"/>
        <v>1</v>
      </c>
      <c r="G1030" s="121"/>
      <c r="H1030" s="12"/>
      <c r="I1030" s="192"/>
      <c r="J1030" s="192"/>
      <c r="K1030" s="192"/>
      <c r="L1030" s="121"/>
      <c r="M1030" s="125"/>
      <c r="N1030" s="221"/>
      <c r="O1030" s="122" t="s">
        <v>8047</v>
      </c>
      <c r="P1030" s="221"/>
      <c r="Q1030" s="221"/>
      <c r="R1030" s="223"/>
      <c r="S1030" s="223"/>
      <c r="T1030" s="125"/>
      <c r="U1030" s="125"/>
      <c r="V1030" s="125"/>
      <c r="W1030" s="125"/>
      <c r="X1030" s="125"/>
      <c r="Y1030" s="125"/>
      <c r="Z1030" s="125"/>
    </row>
    <row r="1031">
      <c r="A1031" s="329"/>
      <c r="B1031" s="119"/>
      <c r="C1031" s="121" t="s">
        <v>8048</v>
      </c>
      <c r="D1031" s="121"/>
      <c r="E1031" s="221"/>
      <c r="F1031" s="123">
        <f t="shared" si="1"/>
        <v>1</v>
      </c>
      <c r="G1031" s="121"/>
      <c r="H1031" s="12"/>
      <c r="I1031" s="192"/>
      <c r="J1031" s="192"/>
      <c r="K1031" s="192"/>
      <c r="L1031" s="121"/>
      <c r="M1031" s="125"/>
      <c r="N1031" s="221"/>
      <c r="O1031" s="122" t="s">
        <v>8049</v>
      </c>
      <c r="P1031" s="221"/>
      <c r="Q1031" s="221"/>
      <c r="R1031" s="223"/>
      <c r="S1031" s="223"/>
      <c r="T1031" s="125"/>
      <c r="U1031" s="125"/>
      <c r="V1031" s="125"/>
      <c r="W1031" s="125"/>
      <c r="X1031" s="125"/>
      <c r="Y1031" s="125"/>
      <c r="Z1031" s="125"/>
    </row>
    <row r="1032">
      <c r="A1032" s="329"/>
      <c r="B1032" s="119"/>
      <c r="C1032" s="121" t="s">
        <v>8050</v>
      </c>
      <c r="D1032" s="121"/>
      <c r="E1032" s="221"/>
      <c r="F1032" s="123">
        <f t="shared" si="1"/>
        <v>1</v>
      </c>
      <c r="G1032" s="121"/>
      <c r="H1032" s="12"/>
      <c r="I1032" s="192"/>
      <c r="J1032" s="192"/>
      <c r="K1032" s="192"/>
      <c r="L1032" s="121"/>
      <c r="M1032" s="125"/>
      <c r="N1032" s="221"/>
      <c r="O1032" s="122" t="s">
        <v>8051</v>
      </c>
      <c r="P1032" s="221"/>
      <c r="Q1032" s="221"/>
      <c r="R1032" s="223"/>
      <c r="S1032" s="223"/>
      <c r="T1032" s="125"/>
      <c r="U1032" s="125"/>
      <c r="V1032" s="125"/>
      <c r="W1032" s="125"/>
      <c r="X1032" s="125"/>
      <c r="Y1032" s="125"/>
      <c r="Z1032" s="125"/>
    </row>
    <row r="1033">
      <c r="A1033" s="329"/>
      <c r="B1033" s="119"/>
      <c r="C1033" s="121" t="s">
        <v>8052</v>
      </c>
      <c r="D1033" s="121"/>
      <c r="E1033" s="221"/>
      <c r="F1033" s="123">
        <f t="shared" si="1"/>
        <v>1</v>
      </c>
      <c r="G1033" s="121"/>
      <c r="H1033" s="12"/>
      <c r="I1033" s="192"/>
      <c r="J1033" s="192"/>
      <c r="K1033" s="192"/>
      <c r="L1033" s="121"/>
      <c r="M1033" s="125"/>
      <c r="N1033" s="221"/>
      <c r="O1033" s="122" t="s">
        <v>8053</v>
      </c>
      <c r="P1033" s="221"/>
      <c r="Q1033" s="221"/>
      <c r="R1033" s="223"/>
      <c r="S1033" s="223"/>
      <c r="T1033" s="125"/>
      <c r="U1033" s="125"/>
      <c r="V1033" s="125"/>
      <c r="W1033" s="125"/>
      <c r="X1033" s="125"/>
      <c r="Y1033" s="125"/>
      <c r="Z1033" s="125"/>
    </row>
    <row r="1034">
      <c r="A1034" s="329"/>
      <c r="B1034" s="119"/>
      <c r="C1034" s="121" t="s">
        <v>8054</v>
      </c>
      <c r="D1034" s="121"/>
      <c r="E1034" s="221"/>
      <c r="F1034" s="123">
        <f t="shared" si="1"/>
        <v>1</v>
      </c>
      <c r="G1034" s="121"/>
      <c r="H1034" s="12"/>
      <c r="I1034" s="192"/>
      <c r="J1034" s="192"/>
      <c r="K1034" s="192"/>
      <c r="L1034" s="121"/>
      <c r="M1034" s="125"/>
      <c r="N1034" s="221"/>
      <c r="O1034" s="122" t="s">
        <v>8055</v>
      </c>
      <c r="P1034" s="221"/>
      <c r="Q1034" s="221"/>
      <c r="R1034" s="223"/>
      <c r="S1034" s="223"/>
      <c r="T1034" s="125"/>
      <c r="U1034" s="125"/>
      <c r="V1034" s="125"/>
      <c r="W1034" s="125"/>
      <c r="X1034" s="125"/>
      <c r="Y1034" s="125"/>
      <c r="Z1034" s="125"/>
    </row>
    <row r="1035">
      <c r="A1035" s="329"/>
      <c r="B1035" s="119"/>
      <c r="C1035" s="121" t="s">
        <v>8056</v>
      </c>
      <c r="D1035" s="121"/>
      <c r="E1035" s="221"/>
      <c r="F1035" s="123">
        <f t="shared" si="1"/>
        <v>1</v>
      </c>
      <c r="G1035" s="121"/>
      <c r="H1035" s="12"/>
      <c r="I1035" s="192"/>
      <c r="J1035" s="192"/>
      <c r="K1035" s="192"/>
      <c r="L1035" s="121"/>
      <c r="M1035" s="125"/>
      <c r="N1035" s="221"/>
      <c r="O1035" s="122" t="s">
        <v>8057</v>
      </c>
      <c r="P1035" s="221"/>
      <c r="Q1035" s="221"/>
      <c r="R1035" s="223"/>
      <c r="S1035" s="223"/>
      <c r="T1035" s="125"/>
      <c r="U1035" s="125"/>
      <c r="V1035" s="125"/>
      <c r="W1035" s="125"/>
      <c r="X1035" s="125"/>
      <c r="Y1035" s="125"/>
      <c r="Z1035" s="125"/>
    </row>
    <row r="1036">
      <c r="A1036" s="329"/>
      <c r="B1036" s="119"/>
      <c r="C1036" s="121" t="s">
        <v>8058</v>
      </c>
      <c r="D1036" s="121"/>
      <c r="E1036" s="221"/>
      <c r="F1036" s="123">
        <f t="shared" si="1"/>
        <v>1</v>
      </c>
      <c r="G1036" s="121"/>
      <c r="H1036" s="12"/>
      <c r="I1036" s="192"/>
      <c r="J1036" s="192"/>
      <c r="K1036" s="192"/>
      <c r="L1036" s="121"/>
      <c r="M1036" s="125"/>
      <c r="N1036" s="221"/>
      <c r="O1036" s="122" t="s">
        <v>8059</v>
      </c>
      <c r="P1036" s="221"/>
      <c r="Q1036" s="221"/>
      <c r="R1036" s="223"/>
      <c r="S1036" s="223"/>
      <c r="T1036" s="125"/>
      <c r="U1036" s="125"/>
      <c r="V1036" s="125"/>
      <c r="W1036" s="125"/>
      <c r="X1036" s="125"/>
      <c r="Y1036" s="125"/>
      <c r="Z1036" s="125"/>
    </row>
    <row r="1037">
      <c r="A1037" s="329"/>
      <c r="B1037" s="119"/>
      <c r="C1037" s="121" t="s">
        <v>8060</v>
      </c>
      <c r="D1037" s="121"/>
      <c r="E1037" s="221"/>
      <c r="F1037" s="123">
        <f t="shared" si="1"/>
        <v>1</v>
      </c>
      <c r="G1037" s="121"/>
      <c r="H1037" s="12"/>
      <c r="I1037" s="192"/>
      <c r="J1037" s="192"/>
      <c r="K1037" s="192"/>
      <c r="L1037" s="121"/>
      <c r="M1037" s="125"/>
      <c r="N1037" s="221"/>
      <c r="O1037" s="122" t="s">
        <v>8061</v>
      </c>
      <c r="P1037" s="221"/>
      <c r="Q1037" s="221"/>
      <c r="R1037" s="223"/>
      <c r="S1037" s="223"/>
      <c r="T1037" s="125"/>
      <c r="U1037" s="125"/>
      <c r="V1037" s="125"/>
      <c r="W1037" s="125"/>
      <c r="X1037" s="125"/>
      <c r="Y1037" s="125"/>
      <c r="Z1037" s="125"/>
    </row>
    <row r="1038">
      <c r="A1038" s="329"/>
      <c r="B1038" s="119"/>
      <c r="C1038" s="121" t="s">
        <v>8062</v>
      </c>
      <c r="D1038" s="121"/>
      <c r="E1038" s="221"/>
      <c r="F1038" s="123">
        <f t="shared" si="1"/>
        <v>1</v>
      </c>
      <c r="G1038" s="121"/>
      <c r="H1038" s="12"/>
      <c r="I1038" s="192"/>
      <c r="J1038" s="192"/>
      <c r="K1038" s="192"/>
      <c r="L1038" s="121"/>
      <c r="M1038" s="125"/>
      <c r="N1038" s="221"/>
      <c r="O1038" s="122" t="s">
        <v>8063</v>
      </c>
      <c r="P1038" s="221"/>
      <c r="Q1038" s="221"/>
      <c r="R1038" s="223"/>
      <c r="S1038" s="223"/>
      <c r="T1038" s="125"/>
      <c r="U1038" s="125"/>
      <c r="V1038" s="125"/>
      <c r="W1038" s="125"/>
      <c r="X1038" s="125"/>
      <c r="Y1038" s="125"/>
      <c r="Z1038" s="125"/>
    </row>
    <row r="1039">
      <c r="A1039" s="329"/>
      <c r="B1039" s="119"/>
      <c r="C1039" s="121" t="s">
        <v>8064</v>
      </c>
      <c r="D1039" s="121"/>
      <c r="E1039" s="221"/>
      <c r="F1039" s="123">
        <f t="shared" si="1"/>
        <v>1</v>
      </c>
      <c r="G1039" s="121"/>
      <c r="H1039" s="12"/>
      <c r="I1039" s="192"/>
      <c r="J1039" s="192"/>
      <c r="K1039" s="192"/>
      <c r="L1039" s="121"/>
      <c r="M1039" s="125"/>
      <c r="N1039" s="221"/>
      <c r="O1039" s="122" t="s">
        <v>8065</v>
      </c>
      <c r="P1039" s="221"/>
      <c r="Q1039" s="221"/>
      <c r="R1039" s="223"/>
      <c r="S1039" s="223"/>
      <c r="T1039" s="125"/>
      <c r="U1039" s="125"/>
      <c r="V1039" s="125"/>
      <c r="W1039" s="125"/>
      <c r="X1039" s="125"/>
      <c r="Y1039" s="125"/>
      <c r="Z1039" s="125"/>
    </row>
    <row r="1040">
      <c r="A1040" s="329"/>
      <c r="B1040" s="119"/>
      <c r="C1040" s="121" t="s">
        <v>8066</v>
      </c>
      <c r="D1040" s="121"/>
      <c r="E1040" s="221"/>
      <c r="F1040" s="123">
        <f t="shared" si="1"/>
        <v>1</v>
      </c>
      <c r="G1040" s="121"/>
      <c r="H1040" s="12"/>
      <c r="I1040" s="192"/>
      <c r="J1040" s="192"/>
      <c r="K1040" s="192"/>
      <c r="L1040" s="121"/>
      <c r="M1040" s="125"/>
      <c r="N1040" s="221"/>
      <c r="O1040" s="122" t="s">
        <v>8067</v>
      </c>
      <c r="P1040" s="221"/>
      <c r="Q1040" s="221"/>
      <c r="R1040" s="223"/>
      <c r="S1040" s="223"/>
      <c r="T1040" s="125"/>
      <c r="U1040" s="125"/>
      <c r="V1040" s="125"/>
      <c r="W1040" s="125"/>
      <c r="X1040" s="125"/>
      <c r="Y1040" s="125"/>
      <c r="Z1040" s="125"/>
    </row>
    <row r="1041">
      <c r="A1041" s="329"/>
      <c r="B1041" s="119"/>
      <c r="C1041" s="121" t="s">
        <v>8068</v>
      </c>
      <c r="D1041" s="121"/>
      <c r="E1041" s="221"/>
      <c r="F1041" s="123">
        <f t="shared" si="1"/>
        <v>1</v>
      </c>
      <c r="G1041" s="121"/>
      <c r="H1041" s="12"/>
      <c r="I1041" s="192"/>
      <c r="J1041" s="192"/>
      <c r="K1041" s="192"/>
      <c r="L1041" s="121"/>
      <c r="M1041" s="125"/>
      <c r="N1041" s="221"/>
      <c r="O1041" s="122" t="s">
        <v>8069</v>
      </c>
      <c r="P1041" s="221"/>
      <c r="Q1041" s="221"/>
      <c r="R1041" s="223"/>
      <c r="S1041" s="223"/>
      <c r="T1041" s="125"/>
      <c r="U1041" s="125"/>
      <c r="V1041" s="125"/>
      <c r="W1041" s="125"/>
      <c r="X1041" s="125"/>
      <c r="Y1041" s="125"/>
      <c r="Z1041" s="125"/>
    </row>
    <row r="1042">
      <c r="A1042" s="329"/>
      <c r="B1042" s="119"/>
      <c r="C1042" s="121" t="s">
        <v>8070</v>
      </c>
      <c r="D1042" s="121"/>
      <c r="E1042" s="221"/>
      <c r="F1042" s="123">
        <f t="shared" si="1"/>
        <v>1</v>
      </c>
      <c r="G1042" s="121"/>
      <c r="H1042" s="12"/>
      <c r="I1042" s="192"/>
      <c r="J1042" s="192"/>
      <c r="K1042" s="192"/>
      <c r="L1042" s="121"/>
      <c r="M1042" s="125"/>
      <c r="N1042" s="221"/>
      <c r="O1042" s="122" t="s">
        <v>8071</v>
      </c>
      <c r="P1042" s="221"/>
      <c r="Q1042" s="221"/>
      <c r="R1042" s="223"/>
      <c r="S1042" s="223"/>
      <c r="T1042" s="125"/>
      <c r="U1042" s="125"/>
      <c r="V1042" s="125"/>
      <c r="W1042" s="125"/>
      <c r="X1042" s="125"/>
      <c r="Y1042" s="125"/>
      <c r="Z1042" s="125"/>
    </row>
    <row r="1043">
      <c r="A1043" s="329"/>
      <c r="B1043" s="119"/>
      <c r="C1043" s="121" t="s">
        <v>8072</v>
      </c>
      <c r="D1043" s="121"/>
      <c r="E1043" s="221"/>
      <c r="F1043" s="123">
        <f t="shared" si="1"/>
        <v>1</v>
      </c>
      <c r="G1043" s="121"/>
      <c r="H1043" s="12"/>
      <c r="I1043" s="192"/>
      <c r="J1043" s="192"/>
      <c r="K1043" s="192"/>
      <c r="L1043" s="121"/>
      <c r="M1043" s="125"/>
      <c r="N1043" s="221"/>
      <c r="O1043" s="122" t="s">
        <v>8073</v>
      </c>
      <c r="P1043" s="221"/>
      <c r="Q1043" s="221"/>
      <c r="R1043" s="223"/>
      <c r="S1043" s="223"/>
      <c r="T1043" s="125"/>
      <c r="U1043" s="125"/>
      <c r="V1043" s="125"/>
      <c r="W1043" s="125"/>
      <c r="X1043" s="125"/>
      <c r="Y1043" s="125"/>
      <c r="Z1043" s="125"/>
    </row>
    <row r="1044">
      <c r="A1044" s="329"/>
      <c r="B1044" s="119"/>
      <c r="C1044" s="121" t="s">
        <v>8074</v>
      </c>
      <c r="D1044" s="121"/>
      <c r="E1044" s="221"/>
      <c r="F1044" s="123">
        <f t="shared" si="1"/>
        <v>1</v>
      </c>
      <c r="G1044" s="121"/>
      <c r="H1044" s="12"/>
      <c r="I1044" s="192"/>
      <c r="J1044" s="192"/>
      <c r="K1044" s="192"/>
      <c r="L1044" s="121"/>
      <c r="M1044" s="125"/>
      <c r="N1044" s="221"/>
      <c r="O1044" s="122" t="s">
        <v>8075</v>
      </c>
      <c r="P1044" s="221"/>
      <c r="Q1044" s="221"/>
      <c r="R1044" s="223"/>
      <c r="S1044" s="223"/>
      <c r="T1044" s="125"/>
      <c r="U1044" s="125"/>
      <c r="V1044" s="125"/>
      <c r="W1044" s="125"/>
      <c r="X1044" s="125"/>
      <c r="Y1044" s="125"/>
      <c r="Z1044" s="125"/>
    </row>
    <row r="1045">
      <c r="A1045" s="329"/>
      <c r="B1045" s="119"/>
      <c r="C1045" s="121" t="s">
        <v>8076</v>
      </c>
      <c r="D1045" s="121"/>
      <c r="E1045" s="221"/>
      <c r="F1045" s="123">
        <f t="shared" si="1"/>
        <v>1</v>
      </c>
      <c r="G1045" s="121"/>
      <c r="H1045" s="12"/>
      <c r="I1045" s="192"/>
      <c r="J1045" s="192"/>
      <c r="K1045" s="192"/>
      <c r="L1045" s="121"/>
      <c r="M1045" s="125"/>
      <c r="N1045" s="221"/>
      <c r="O1045" s="122" t="s">
        <v>8077</v>
      </c>
      <c r="P1045" s="221"/>
      <c r="Q1045" s="221"/>
      <c r="R1045" s="223"/>
      <c r="S1045" s="223"/>
      <c r="T1045" s="125"/>
      <c r="U1045" s="125"/>
      <c r="V1045" s="125"/>
      <c r="W1045" s="125"/>
      <c r="X1045" s="125"/>
      <c r="Y1045" s="125"/>
      <c r="Z1045" s="125"/>
    </row>
    <row r="1046">
      <c r="A1046" s="329"/>
      <c r="B1046" s="119"/>
      <c r="C1046" s="121" t="s">
        <v>8078</v>
      </c>
      <c r="D1046" s="121"/>
      <c r="E1046" s="221"/>
      <c r="F1046" s="123">
        <f t="shared" si="1"/>
        <v>1</v>
      </c>
      <c r="G1046" s="121"/>
      <c r="H1046" s="12"/>
      <c r="I1046" s="192"/>
      <c r="J1046" s="192"/>
      <c r="K1046" s="192"/>
      <c r="L1046" s="121"/>
      <c r="M1046" s="125"/>
      <c r="N1046" s="221"/>
      <c r="O1046" s="122" t="s">
        <v>8079</v>
      </c>
      <c r="P1046" s="221"/>
      <c r="Q1046" s="221"/>
      <c r="R1046" s="223"/>
      <c r="S1046" s="223"/>
      <c r="T1046" s="125"/>
      <c r="U1046" s="125"/>
      <c r="V1046" s="125"/>
      <c r="W1046" s="125"/>
      <c r="X1046" s="125"/>
      <c r="Y1046" s="125"/>
      <c r="Z1046" s="125"/>
    </row>
    <row r="1047">
      <c r="A1047" s="329"/>
      <c r="B1047" s="119"/>
      <c r="C1047" s="121" t="s">
        <v>8080</v>
      </c>
      <c r="D1047" s="121"/>
      <c r="E1047" s="221"/>
      <c r="F1047" s="123">
        <f t="shared" si="1"/>
        <v>1</v>
      </c>
      <c r="G1047" s="121"/>
      <c r="H1047" s="12"/>
      <c r="I1047" s="192"/>
      <c r="J1047" s="192"/>
      <c r="K1047" s="192"/>
      <c r="L1047" s="121"/>
      <c r="M1047" s="125"/>
      <c r="N1047" s="221"/>
      <c r="O1047" s="122" t="s">
        <v>8081</v>
      </c>
      <c r="P1047" s="221"/>
      <c r="Q1047" s="221"/>
      <c r="R1047" s="223"/>
      <c r="S1047" s="223"/>
      <c r="T1047" s="125"/>
      <c r="U1047" s="125"/>
      <c r="V1047" s="125"/>
      <c r="W1047" s="125"/>
      <c r="X1047" s="125"/>
      <c r="Y1047" s="125"/>
      <c r="Z1047" s="125"/>
    </row>
    <row r="1048">
      <c r="A1048" s="329"/>
      <c r="B1048" s="119"/>
      <c r="C1048" s="121" t="s">
        <v>8082</v>
      </c>
      <c r="D1048" s="121"/>
      <c r="E1048" s="221"/>
      <c r="F1048" s="123">
        <f t="shared" si="1"/>
        <v>1</v>
      </c>
      <c r="G1048" s="121"/>
      <c r="H1048" s="12"/>
      <c r="I1048" s="192"/>
      <c r="J1048" s="192"/>
      <c r="K1048" s="192"/>
      <c r="L1048" s="121"/>
      <c r="M1048" s="125"/>
      <c r="N1048" s="221"/>
      <c r="O1048" s="122" t="s">
        <v>8083</v>
      </c>
      <c r="P1048" s="221"/>
      <c r="Q1048" s="221"/>
      <c r="R1048" s="223"/>
      <c r="S1048" s="223"/>
      <c r="T1048" s="125"/>
      <c r="U1048" s="125"/>
      <c r="V1048" s="125"/>
      <c r="W1048" s="125"/>
      <c r="X1048" s="125"/>
      <c r="Y1048" s="125"/>
      <c r="Z1048" s="125"/>
    </row>
    <row r="1049">
      <c r="A1049" s="329"/>
      <c r="B1049" s="119"/>
      <c r="C1049" s="121" t="s">
        <v>8084</v>
      </c>
      <c r="D1049" s="121"/>
      <c r="E1049" s="221"/>
      <c r="F1049" s="123">
        <f t="shared" si="1"/>
        <v>1</v>
      </c>
      <c r="G1049" s="121"/>
      <c r="H1049" s="12"/>
      <c r="I1049" s="192"/>
      <c r="J1049" s="192"/>
      <c r="K1049" s="192"/>
      <c r="L1049" s="121"/>
      <c r="M1049" s="125"/>
      <c r="N1049" s="221"/>
      <c r="O1049" s="122" t="s">
        <v>8085</v>
      </c>
      <c r="P1049" s="221"/>
      <c r="Q1049" s="221"/>
      <c r="R1049" s="223"/>
      <c r="S1049" s="223"/>
      <c r="T1049" s="125"/>
      <c r="U1049" s="125"/>
      <c r="V1049" s="125"/>
      <c r="W1049" s="125"/>
      <c r="X1049" s="125"/>
      <c r="Y1049" s="125"/>
      <c r="Z1049" s="125"/>
    </row>
    <row r="1050">
      <c r="A1050" s="329"/>
      <c r="B1050" s="119"/>
      <c r="C1050" s="121" t="s">
        <v>8086</v>
      </c>
      <c r="D1050" s="121"/>
      <c r="E1050" s="221"/>
      <c r="F1050" s="123">
        <f t="shared" si="1"/>
        <v>1</v>
      </c>
      <c r="G1050" s="121"/>
      <c r="H1050" s="12"/>
      <c r="I1050" s="192"/>
      <c r="J1050" s="192"/>
      <c r="K1050" s="192"/>
      <c r="L1050" s="121"/>
      <c r="M1050" s="125"/>
      <c r="N1050" s="221"/>
      <c r="O1050" s="122" t="s">
        <v>8087</v>
      </c>
      <c r="P1050" s="221"/>
      <c r="Q1050" s="221"/>
      <c r="R1050" s="223"/>
      <c r="S1050" s="223"/>
      <c r="T1050" s="125"/>
      <c r="U1050" s="125"/>
      <c r="V1050" s="125"/>
      <c r="W1050" s="125"/>
      <c r="X1050" s="125"/>
      <c r="Y1050" s="125"/>
      <c r="Z1050" s="125"/>
    </row>
    <row r="1051">
      <c r="A1051" s="329"/>
      <c r="B1051" s="119"/>
      <c r="C1051" s="121" t="s">
        <v>8088</v>
      </c>
      <c r="D1051" s="121"/>
      <c r="E1051" s="221"/>
      <c r="F1051" s="123">
        <f t="shared" si="1"/>
        <v>1</v>
      </c>
      <c r="G1051" s="121"/>
      <c r="H1051" s="12"/>
      <c r="I1051" s="192"/>
      <c r="J1051" s="192"/>
      <c r="K1051" s="192"/>
      <c r="L1051" s="121"/>
      <c r="M1051" s="125"/>
      <c r="N1051" s="221"/>
      <c r="O1051" s="122" t="s">
        <v>8089</v>
      </c>
      <c r="P1051" s="221"/>
      <c r="Q1051" s="221"/>
      <c r="R1051" s="223"/>
      <c r="S1051" s="223"/>
      <c r="T1051" s="125"/>
      <c r="U1051" s="125"/>
      <c r="V1051" s="125"/>
      <c r="W1051" s="125"/>
      <c r="X1051" s="125"/>
      <c r="Y1051" s="125"/>
      <c r="Z1051" s="125"/>
    </row>
    <row r="1052">
      <c r="A1052" s="329"/>
      <c r="B1052" s="119"/>
      <c r="C1052" s="121" t="s">
        <v>8090</v>
      </c>
      <c r="D1052" s="121"/>
      <c r="E1052" s="221"/>
      <c r="F1052" s="123">
        <f t="shared" si="1"/>
        <v>1</v>
      </c>
      <c r="G1052" s="121"/>
      <c r="H1052" s="12"/>
      <c r="I1052" s="192"/>
      <c r="J1052" s="192"/>
      <c r="K1052" s="192"/>
      <c r="L1052" s="121"/>
      <c r="M1052" s="125"/>
      <c r="N1052" s="221"/>
      <c r="O1052" s="122" t="s">
        <v>8091</v>
      </c>
      <c r="P1052" s="221"/>
      <c r="Q1052" s="221"/>
      <c r="R1052" s="223"/>
      <c r="S1052" s="223"/>
      <c r="T1052" s="125"/>
      <c r="U1052" s="125"/>
      <c r="V1052" s="125"/>
      <c r="W1052" s="125"/>
      <c r="X1052" s="125"/>
      <c r="Y1052" s="125"/>
      <c r="Z1052" s="125"/>
    </row>
    <row r="1053">
      <c r="A1053" s="329"/>
      <c r="B1053" s="119"/>
      <c r="C1053" s="121" t="s">
        <v>8092</v>
      </c>
      <c r="D1053" s="121"/>
      <c r="E1053" s="221"/>
      <c r="F1053" s="123">
        <f t="shared" si="1"/>
        <v>1</v>
      </c>
      <c r="G1053" s="121"/>
      <c r="H1053" s="12"/>
      <c r="I1053" s="192"/>
      <c r="J1053" s="192"/>
      <c r="K1053" s="192"/>
      <c r="L1053" s="121"/>
      <c r="M1053" s="125"/>
      <c r="N1053" s="221"/>
      <c r="O1053" s="122" t="s">
        <v>8093</v>
      </c>
      <c r="P1053" s="221"/>
      <c r="Q1053" s="221"/>
      <c r="R1053" s="223"/>
      <c r="S1053" s="223"/>
      <c r="T1053" s="125"/>
      <c r="U1053" s="125"/>
      <c r="V1053" s="125"/>
      <c r="W1053" s="125"/>
      <c r="X1053" s="125"/>
      <c r="Y1053" s="125"/>
      <c r="Z1053" s="125"/>
    </row>
    <row r="1054">
      <c r="A1054" s="329"/>
      <c r="B1054" s="119"/>
      <c r="C1054" s="121" t="s">
        <v>8094</v>
      </c>
      <c r="D1054" s="121"/>
      <c r="E1054" s="221"/>
      <c r="F1054" s="123">
        <f t="shared" si="1"/>
        <v>1</v>
      </c>
      <c r="G1054" s="121"/>
      <c r="H1054" s="12"/>
      <c r="I1054" s="192"/>
      <c r="J1054" s="192"/>
      <c r="K1054" s="192"/>
      <c r="L1054" s="121"/>
      <c r="M1054" s="125"/>
      <c r="N1054" s="221"/>
      <c r="O1054" s="122" t="s">
        <v>8095</v>
      </c>
      <c r="P1054" s="221"/>
      <c r="Q1054" s="221"/>
      <c r="R1054" s="223"/>
      <c r="S1054" s="223"/>
      <c r="T1054" s="125"/>
      <c r="U1054" s="125"/>
      <c r="V1054" s="125"/>
      <c r="W1054" s="125"/>
      <c r="X1054" s="125"/>
      <c r="Y1054" s="125"/>
      <c r="Z1054" s="125"/>
    </row>
    <row r="1055">
      <c r="A1055" s="329"/>
      <c r="B1055" s="119"/>
      <c r="C1055" s="121" t="s">
        <v>8096</v>
      </c>
      <c r="D1055" s="121"/>
      <c r="E1055" s="221"/>
      <c r="F1055" s="123">
        <f t="shared" si="1"/>
        <v>1</v>
      </c>
      <c r="G1055" s="121"/>
      <c r="H1055" s="12"/>
      <c r="I1055" s="192"/>
      <c r="J1055" s="192"/>
      <c r="K1055" s="192"/>
      <c r="L1055" s="121"/>
      <c r="M1055" s="125"/>
      <c r="N1055" s="221"/>
      <c r="O1055" s="122" t="s">
        <v>8097</v>
      </c>
      <c r="P1055" s="221"/>
      <c r="Q1055" s="221"/>
      <c r="R1055" s="223"/>
      <c r="S1055" s="223"/>
      <c r="T1055" s="125"/>
      <c r="U1055" s="125"/>
      <c r="V1055" s="125"/>
      <c r="W1055" s="125"/>
      <c r="X1055" s="125"/>
      <c r="Y1055" s="125"/>
      <c r="Z1055" s="125"/>
    </row>
    <row r="1056">
      <c r="A1056" s="329"/>
      <c r="B1056" s="119"/>
      <c r="C1056" s="121" t="s">
        <v>8098</v>
      </c>
      <c r="D1056" s="121"/>
      <c r="E1056" s="221"/>
      <c r="F1056" s="123">
        <f t="shared" si="1"/>
        <v>1</v>
      </c>
      <c r="G1056" s="121"/>
      <c r="H1056" s="12"/>
      <c r="I1056" s="192"/>
      <c r="J1056" s="192"/>
      <c r="K1056" s="192"/>
      <c r="L1056" s="121"/>
      <c r="M1056" s="125"/>
      <c r="N1056" s="221"/>
      <c r="O1056" s="122" t="s">
        <v>8099</v>
      </c>
      <c r="P1056" s="221"/>
      <c r="Q1056" s="221"/>
      <c r="R1056" s="223"/>
      <c r="S1056" s="223"/>
      <c r="T1056" s="125"/>
      <c r="U1056" s="125"/>
      <c r="V1056" s="125"/>
      <c r="W1056" s="125"/>
      <c r="X1056" s="125"/>
      <c r="Y1056" s="125"/>
      <c r="Z1056" s="125"/>
    </row>
    <row r="1057">
      <c r="A1057" s="329"/>
      <c r="B1057" s="119"/>
      <c r="C1057" s="121" t="s">
        <v>8100</v>
      </c>
      <c r="D1057" s="121"/>
      <c r="E1057" s="221"/>
      <c r="F1057" s="123">
        <f t="shared" si="1"/>
        <v>1</v>
      </c>
      <c r="G1057" s="121"/>
      <c r="H1057" s="12"/>
      <c r="I1057" s="192"/>
      <c r="J1057" s="192"/>
      <c r="K1057" s="192"/>
      <c r="L1057" s="121"/>
      <c r="M1057" s="125"/>
      <c r="N1057" s="221"/>
      <c r="O1057" s="122" t="s">
        <v>8101</v>
      </c>
      <c r="P1057" s="221"/>
      <c r="Q1057" s="221"/>
      <c r="R1057" s="223"/>
      <c r="S1057" s="223"/>
      <c r="T1057" s="125"/>
      <c r="U1057" s="125"/>
      <c r="V1057" s="125"/>
      <c r="W1057" s="125"/>
      <c r="X1057" s="125"/>
      <c r="Y1057" s="125"/>
      <c r="Z1057" s="125"/>
    </row>
    <row r="1058">
      <c r="A1058" s="329"/>
      <c r="B1058" s="119"/>
      <c r="C1058" s="121" t="s">
        <v>8102</v>
      </c>
      <c r="D1058" s="121"/>
      <c r="E1058" s="221"/>
      <c r="F1058" s="123">
        <f t="shared" si="1"/>
        <v>1</v>
      </c>
      <c r="G1058" s="121"/>
      <c r="H1058" s="12"/>
      <c r="I1058" s="192"/>
      <c r="J1058" s="192"/>
      <c r="K1058" s="192"/>
      <c r="L1058" s="121"/>
      <c r="M1058" s="125"/>
      <c r="N1058" s="221"/>
      <c r="O1058" s="122" t="s">
        <v>8103</v>
      </c>
      <c r="P1058" s="221"/>
      <c r="Q1058" s="221"/>
      <c r="R1058" s="223"/>
      <c r="S1058" s="223"/>
      <c r="T1058" s="125"/>
      <c r="U1058" s="125"/>
      <c r="V1058" s="125"/>
      <c r="W1058" s="125"/>
      <c r="X1058" s="125"/>
      <c r="Y1058" s="125"/>
      <c r="Z1058" s="125"/>
    </row>
    <row r="1059">
      <c r="A1059" s="329"/>
      <c r="B1059" s="119"/>
      <c r="C1059" s="121" t="s">
        <v>8104</v>
      </c>
      <c r="D1059" s="121"/>
      <c r="E1059" s="221"/>
      <c r="F1059" s="123">
        <f t="shared" si="1"/>
        <v>1</v>
      </c>
      <c r="G1059" s="121"/>
      <c r="H1059" s="12"/>
      <c r="I1059" s="192"/>
      <c r="J1059" s="192"/>
      <c r="K1059" s="192"/>
      <c r="L1059" s="121"/>
      <c r="M1059" s="125"/>
      <c r="N1059" s="221"/>
      <c r="O1059" s="122" t="s">
        <v>8105</v>
      </c>
      <c r="P1059" s="221"/>
      <c r="Q1059" s="221"/>
      <c r="R1059" s="223"/>
      <c r="S1059" s="223"/>
      <c r="T1059" s="125"/>
      <c r="U1059" s="125"/>
      <c r="V1059" s="125"/>
      <c r="W1059" s="125"/>
      <c r="X1059" s="125"/>
      <c r="Y1059" s="125"/>
      <c r="Z1059" s="125"/>
    </row>
    <row r="1060">
      <c r="A1060" s="329"/>
      <c r="B1060" s="119"/>
      <c r="C1060" s="121" t="s">
        <v>8106</v>
      </c>
      <c r="D1060" s="121"/>
      <c r="E1060" s="221"/>
      <c r="F1060" s="123">
        <f t="shared" si="1"/>
        <v>1</v>
      </c>
      <c r="G1060" s="121"/>
      <c r="H1060" s="12"/>
      <c r="I1060" s="192"/>
      <c r="J1060" s="192"/>
      <c r="K1060" s="192"/>
      <c r="L1060" s="121"/>
      <c r="M1060" s="125"/>
      <c r="N1060" s="221"/>
      <c r="O1060" s="122" t="s">
        <v>8107</v>
      </c>
      <c r="P1060" s="221"/>
      <c r="Q1060" s="221"/>
      <c r="R1060" s="223"/>
      <c r="S1060" s="223"/>
      <c r="T1060" s="125"/>
      <c r="U1060" s="125"/>
      <c r="V1060" s="125"/>
      <c r="W1060" s="125"/>
      <c r="X1060" s="125"/>
      <c r="Y1060" s="125"/>
      <c r="Z1060" s="125"/>
    </row>
    <row r="1061">
      <c r="A1061" s="329"/>
      <c r="B1061" s="119"/>
      <c r="C1061" s="121" t="s">
        <v>8108</v>
      </c>
      <c r="D1061" s="121"/>
      <c r="E1061" s="221"/>
      <c r="F1061" s="123">
        <f t="shared" si="1"/>
        <v>1</v>
      </c>
      <c r="G1061" s="121"/>
      <c r="H1061" s="12"/>
      <c r="I1061" s="192"/>
      <c r="J1061" s="192"/>
      <c r="K1061" s="192"/>
      <c r="L1061" s="121"/>
      <c r="M1061" s="125"/>
      <c r="N1061" s="221"/>
      <c r="O1061" s="122" t="s">
        <v>8109</v>
      </c>
      <c r="P1061" s="221"/>
      <c r="Q1061" s="221"/>
      <c r="R1061" s="223"/>
      <c r="S1061" s="223"/>
      <c r="T1061" s="125"/>
      <c r="U1061" s="125"/>
      <c r="V1061" s="125"/>
      <c r="W1061" s="125"/>
      <c r="X1061" s="125"/>
      <c r="Y1061" s="125"/>
      <c r="Z1061" s="125"/>
    </row>
    <row r="1062">
      <c r="A1062" s="329"/>
      <c r="B1062" s="119"/>
      <c r="C1062" s="121" t="s">
        <v>8110</v>
      </c>
      <c r="D1062" s="121"/>
      <c r="E1062" s="221"/>
      <c r="F1062" s="123">
        <f t="shared" si="1"/>
        <v>1</v>
      </c>
      <c r="G1062" s="121"/>
      <c r="H1062" s="12"/>
      <c r="I1062" s="192"/>
      <c r="J1062" s="192"/>
      <c r="K1062" s="192"/>
      <c r="L1062" s="121"/>
      <c r="M1062" s="125"/>
      <c r="N1062" s="221"/>
      <c r="O1062" s="122" t="s">
        <v>8111</v>
      </c>
      <c r="P1062" s="221"/>
      <c r="Q1062" s="221"/>
      <c r="R1062" s="223"/>
      <c r="S1062" s="223"/>
      <c r="T1062" s="125"/>
      <c r="U1062" s="125"/>
      <c r="V1062" s="125"/>
      <c r="W1062" s="125"/>
      <c r="X1062" s="125"/>
      <c r="Y1062" s="125"/>
      <c r="Z1062" s="125"/>
    </row>
    <row r="1063">
      <c r="A1063" s="329"/>
      <c r="B1063" s="119"/>
      <c r="C1063" s="121" t="s">
        <v>8112</v>
      </c>
      <c r="D1063" s="121"/>
      <c r="E1063" s="221"/>
      <c r="F1063" s="123">
        <f t="shared" si="1"/>
        <v>1</v>
      </c>
      <c r="G1063" s="121"/>
      <c r="H1063" s="12"/>
      <c r="I1063" s="192"/>
      <c r="J1063" s="192"/>
      <c r="K1063" s="192"/>
      <c r="L1063" s="121"/>
      <c r="M1063" s="125"/>
      <c r="N1063" s="221"/>
      <c r="O1063" s="122" t="s">
        <v>8113</v>
      </c>
      <c r="P1063" s="221"/>
      <c r="Q1063" s="221"/>
      <c r="R1063" s="223"/>
      <c r="S1063" s="223"/>
      <c r="T1063" s="125"/>
      <c r="U1063" s="125"/>
      <c r="V1063" s="125"/>
      <c r="W1063" s="125"/>
      <c r="X1063" s="125"/>
      <c r="Y1063" s="125"/>
      <c r="Z1063" s="125"/>
    </row>
    <row r="1064">
      <c r="A1064" s="329"/>
      <c r="B1064" s="119"/>
      <c r="C1064" s="121" t="s">
        <v>8114</v>
      </c>
      <c r="D1064" s="121"/>
      <c r="E1064" s="221"/>
      <c r="F1064" s="123">
        <f t="shared" si="1"/>
        <v>1</v>
      </c>
      <c r="G1064" s="121"/>
      <c r="H1064" s="12"/>
      <c r="I1064" s="192"/>
      <c r="J1064" s="192"/>
      <c r="K1064" s="192"/>
      <c r="L1064" s="121"/>
      <c r="M1064" s="125"/>
      <c r="N1064" s="221"/>
      <c r="O1064" s="122" t="s">
        <v>8115</v>
      </c>
      <c r="P1064" s="221"/>
      <c r="Q1064" s="221"/>
      <c r="R1064" s="223"/>
      <c r="S1064" s="223"/>
      <c r="T1064" s="125"/>
      <c r="U1064" s="125"/>
      <c r="V1064" s="125"/>
      <c r="W1064" s="125"/>
      <c r="X1064" s="125"/>
      <c r="Y1064" s="125"/>
      <c r="Z1064" s="125"/>
    </row>
    <row r="1065">
      <c r="A1065" s="329"/>
      <c r="B1065" s="119"/>
      <c r="C1065" s="121" t="s">
        <v>8116</v>
      </c>
      <c r="D1065" s="121"/>
      <c r="E1065" s="221"/>
      <c r="F1065" s="123">
        <f t="shared" si="1"/>
        <v>1</v>
      </c>
      <c r="G1065" s="121"/>
      <c r="H1065" s="12"/>
      <c r="I1065" s="192"/>
      <c r="J1065" s="192"/>
      <c r="K1065" s="192"/>
      <c r="L1065" s="121"/>
      <c r="M1065" s="125"/>
      <c r="N1065" s="221"/>
      <c r="O1065" s="122" t="s">
        <v>8117</v>
      </c>
      <c r="P1065" s="221"/>
      <c r="Q1065" s="221"/>
      <c r="R1065" s="223"/>
      <c r="S1065" s="223"/>
      <c r="T1065" s="125"/>
      <c r="U1065" s="125"/>
      <c r="V1065" s="125"/>
      <c r="W1065" s="125"/>
      <c r="X1065" s="125"/>
      <c r="Y1065" s="125"/>
      <c r="Z1065" s="125"/>
    </row>
    <row r="1066">
      <c r="A1066" s="329"/>
      <c r="B1066" s="119"/>
      <c r="C1066" s="121" t="s">
        <v>8118</v>
      </c>
      <c r="D1066" s="121"/>
      <c r="E1066" s="221"/>
      <c r="F1066" s="123">
        <f t="shared" si="1"/>
        <v>1</v>
      </c>
      <c r="G1066" s="121"/>
      <c r="H1066" s="12"/>
      <c r="I1066" s="192"/>
      <c r="J1066" s="192"/>
      <c r="K1066" s="192"/>
      <c r="L1066" s="121"/>
      <c r="M1066" s="125"/>
      <c r="N1066" s="221"/>
      <c r="O1066" s="122" t="s">
        <v>8119</v>
      </c>
      <c r="P1066" s="221"/>
      <c r="Q1066" s="221"/>
      <c r="R1066" s="223"/>
      <c r="S1066" s="223"/>
      <c r="T1066" s="125"/>
      <c r="U1066" s="125"/>
      <c r="V1066" s="125"/>
      <c r="W1066" s="125"/>
      <c r="X1066" s="125"/>
      <c r="Y1066" s="125"/>
      <c r="Z1066" s="125"/>
    </row>
    <row r="1067">
      <c r="A1067" s="329"/>
      <c r="B1067" s="119"/>
      <c r="C1067" s="121" t="s">
        <v>8120</v>
      </c>
      <c r="D1067" s="121"/>
      <c r="E1067" s="221"/>
      <c r="F1067" s="123">
        <f t="shared" si="1"/>
        <v>1</v>
      </c>
      <c r="G1067" s="121"/>
      <c r="H1067" s="12"/>
      <c r="I1067" s="192"/>
      <c r="J1067" s="192"/>
      <c r="K1067" s="192"/>
      <c r="L1067" s="121"/>
      <c r="M1067" s="125"/>
      <c r="N1067" s="221"/>
      <c r="O1067" s="122" t="s">
        <v>8121</v>
      </c>
      <c r="P1067" s="221"/>
      <c r="Q1067" s="221"/>
      <c r="R1067" s="223"/>
      <c r="S1067" s="223"/>
      <c r="T1067" s="125"/>
      <c r="U1067" s="125"/>
      <c r="V1067" s="125"/>
      <c r="W1067" s="125"/>
      <c r="X1067" s="125"/>
      <c r="Y1067" s="125"/>
      <c r="Z1067" s="125"/>
    </row>
    <row r="1068">
      <c r="A1068" s="329"/>
      <c r="B1068" s="119"/>
      <c r="C1068" s="121" t="s">
        <v>8122</v>
      </c>
      <c r="D1068" s="121"/>
      <c r="E1068" s="221"/>
      <c r="F1068" s="123">
        <f t="shared" si="1"/>
        <v>1</v>
      </c>
      <c r="G1068" s="121"/>
      <c r="H1068" s="12"/>
      <c r="I1068" s="192"/>
      <c r="J1068" s="192"/>
      <c r="K1068" s="192"/>
      <c r="L1068" s="121"/>
      <c r="M1068" s="125"/>
      <c r="N1068" s="221"/>
      <c r="O1068" s="122" t="s">
        <v>8123</v>
      </c>
      <c r="P1068" s="221"/>
      <c r="Q1068" s="221"/>
      <c r="R1068" s="223"/>
      <c r="S1068" s="223"/>
      <c r="T1068" s="125"/>
      <c r="U1068" s="125"/>
      <c r="V1068" s="125"/>
      <c r="W1068" s="125"/>
      <c r="X1068" s="125"/>
      <c r="Y1068" s="125"/>
      <c r="Z1068" s="125"/>
    </row>
    <row r="1069">
      <c r="A1069" s="329"/>
      <c r="B1069" s="119"/>
      <c r="C1069" s="121" t="s">
        <v>8124</v>
      </c>
      <c r="D1069" s="121"/>
      <c r="E1069" s="221"/>
      <c r="F1069" s="123">
        <f t="shared" si="1"/>
        <v>1</v>
      </c>
      <c r="G1069" s="121"/>
      <c r="H1069" s="12"/>
      <c r="I1069" s="192"/>
      <c r="J1069" s="192"/>
      <c r="K1069" s="192"/>
      <c r="L1069" s="121"/>
      <c r="M1069" s="125"/>
      <c r="N1069" s="221"/>
      <c r="O1069" s="122" t="s">
        <v>8125</v>
      </c>
      <c r="P1069" s="221"/>
      <c r="Q1069" s="221"/>
      <c r="R1069" s="223"/>
      <c r="S1069" s="223"/>
      <c r="T1069" s="125"/>
      <c r="U1069" s="125"/>
      <c r="V1069" s="125"/>
      <c r="W1069" s="125"/>
      <c r="X1069" s="125"/>
      <c r="Y1069" s="125"/>
      <c r="Z1069" s="125"/>
    </row>
    <row r="1070">
      <c r="A1070" s="329"/>
      <c r="B1070" s="119"/>
      <c r="C1070" s="121" t="s">
        <v>8126</v>
      </c>
      <c r="D1070" s="121"/>
      <c r="E1070" s="221"/>
      <c r="F1070" s="123">
        <f t="shared" si="1"/>
        <v>1</v>
      </c>
      <c r="G1070" s="121"/>
      <c r="H1070" s="12"/>
      <c r="I1070" s="192"/>
      <c r="J1070" s="192"/>
      <c r="K1070" s="192"/>
      <c r="L1070" s="121"/>
      <c r="M1070" s="125"/>
      <c r="N1070" s="221"/>
      <c r="O1070" s="122" t="s">
        <v>8127</v>
      </c>
      <c r="P1070" s="221"/>
      <c r="Q1070" s="221"/>
      <c r="R1070" s="223"/>
      <c r="S1070" s="223"/>
      <c r="T1070" s="125"/>
      <c r="U1070" s="125"/>
      <c r="V1070" s="125"/>
      <c r="W1070" s="125"/>
      <c r="X1070" s="125"/>
      <c r="Y1070" s="125"/>
      <c r="Z1070" s="125"/>
    </row>
    <row r="1071">
      <c r="A1071" s="329"/>
      <c r="B1071" s="119"/>
      <c r="C1071" s="121" t="s">
        <v>8128</v>
      </c>
      <c r="D1071" s="121"/>
      <c r="E1071" s="221"/>
      <c r="F1071" s="123">
        <f t="shared" si="1"/>
        <v>1</v>
      </c>
      <c r="G1071" s="121"/>
      <c r="H1071" s="12"/>
      <c r="I1071" s="192"/>
      <c r="J1071" s="192"/>
      <c r="K1071" s="192"/>
      <c r="L1071" s="121"/>
      <c r="M1071" s="125"/>
      <c r="N1071" s="221"/>
      <c r="O1071" s="122" t="s">
        <v>8129</v>
      </c>
      <c r="P1071" s="221"/>
      <c r="Q1071" s="221"/>
      <c r="R1071" s="223"/>
      <c r="S1071" s="223"/>
      <c r="T1071" s="125"/>
      <c r="U1071" s="125"/>
      <c r="V1071" s="125"/>
      <c r="W1071" s="125"/>
      <c r="X1071" s="125"/>
      <c r="Y1071" s="125"/>
      <c r="Z1071" s="125"/>
    </row>
    <row r="1072">
      <c r="A1072" s="329"/>
      <c r="B1072" s="119"/>
      <c r="C1072" s="121" t="s">
        <v>8130</v>
      </c>
      <c r="D1072" s="121"/>
      <c r="E1072" s="221"/>
      <c r="F1072" s="123">
        <f t="shared" si="1"/>
        <v>1</v>
      </c>
      <c r="G1072" s="121"/>
      <c r="H1072" s="12"/>
      <c r="I1072" s="192"/>
      <c r="J1072" s="192"/>
      <c r="K1072" s="192"/>
      <c r="L1072" s="121"/>
      <c r="M1072" s="125"/>
      <c r="N1072" s="221"/>
      <c r="O1072" s="122" t="s">
        <v>8131</v>
      </c>
      <c r="P1072" s="221"/>
      <c r="Q1072" s="221"/>
      <c r="R1072" s="223"/>
      <c r="S1072" s="223"/>
      <c r="T1072" s="125"/>
      <c r="U1072" s="125"/>
      <c r="V1072" s="125"/>
      <c r="W1072" s="125"/>
      <c r="X1072" s="125"/>
      <c r="Y1072" s="125"/>
      <c r="Z1072" s="125"/>
    </row>
    <row r="1073">
      <c r="A1073" s="329"/>
      <c r="B1073" s="119"/>
      <c r="C1073" s="121" t="s">
        <v>8132</v>
      </c>
      <c r="D1073" s="121"/>
      <c r="E1073" s="221"/>
      <c r="F1073" s="123">
        <f t="shared" si="1"/>
        <v>1</v>
      </c>
      <c r="G1073" s="121"/>
      <c r="H1073" s="12"/>
      <c r="I1073" s="192"/>
      <c r="J1073" s="192"/>
      <c r="K1073" s="192"/>
      <c r="L1073" s="121"/>
      <c r="M1073" s="125"/>
      <c r="N1073" s="221"/>
      <c r="O1073" s="122" t="s">
        <v>8133</v>
      </c>
      <c r="P1073" s="221"/>
      <c r="Q1073" s="221"/>
      <c r="R1073" s="223"/>
      <c r="S1073" s="223"/>
      <c r="T1073" s="125"/>
      <c r="U1073" s="125"/>
      <c r="V1073" s="125"/>
      <c r="W1073" s="125"/>
      <c r="X1073" s="125"/>
      <c r="Y1073" s="125"/>
      <c r="Z1073" s="125"/>
    </row>
    <row r="1074">
      <c r="A1074" s="329"/>
      <c r="B1074" s="119"/>
      <c r="C1074" s="121" t="s">
        <v>8134</v>
      </c>
      <c r="D1074" s="121"/>
      <c r="E1074" s="221"/>
      <c r="F1074" s="123">
        <f t="shared" si="1"/>
        <v>1</v>
      </c>
      <c r="G1074" s="121"/>
      <c r="H1074" s="12"/>
      <c r="I1074" s="192"/>
      <c r="J1074" s="192"/>
      <c r="K1074" s="192"/>
      <c r="L1074" s="121"/>
      <c r="M1074" s="125"/>
      <c r="N1074" s="221"/>
      <c r="O1074" s="122" t="s">
        <v>8135</v>
      </c>
      <c r="P1074" s="221"/>
      <c r="Q1074" s="221"/>
      <c r="R1074" s="223"/>
      <c r="S1074" s="223"/>
      <c r="T1074" s="125"/>
      <c r="U1074" s="125"/>
      <c r="V1074" s="125"/>
      <c r="W1074" s="125"/>
      <c r="X1074" s="125"/>
      <c r="Y1074" s="125"/>
      <c r="Z1074" s="125"/>
    </row>
    <row r="1075">
      <c r="A1075" s="329"/>
      <c r="B1075" s="119"/>
      <c r="C1075" s="121" t="s">
        <v>8136</v>
      </c>
      <c r="D1075" s="121"/>
      <c r="E1075" s="221"/>
      <c r="F1075" s="123">
        <f t="shared" si="1"/>
        <v>1</v>
      </c>
      <c r="G1075" s="121"/>
      <c r="H1075" s="12"/>
      <c r="I1075" s="192"/>
      <c r="J1075" s="192"/>
      <c r="K1075" s="192"/>
      <c r="L1075" s="121"/>
      <c r="M1075" s="125"/>
      <c r="N1075" s="221"/>
      <c r="O1075" s="122" t="s">
        <v>8137</v>
      </c>
      <c r="P1075" s="221"/>
      <c r="Q1075" s="221"/>
      <c r="R1075" s="223"/>
      <c r="S1075" s="223"/>
      <c r="T1075" s="125"/>
      <c r="U1075" s="125"/>
      <c r="V1075" s="125"/>
      <c r="W1075" s="125"/>
      <c r="X1075" s="125"/>
      <c r="Y1075" s="125"/>
      <c r="Z1075" s="125"/>
    </row>
    <row r="1076">
      <c r="A1076" s="329"/>
      <c r="B1076" s="119"/>
      <c r="C1076" s="121"/>
      <c r="D1076" s="121"/>
      <c r="E1076" s="221"/>
      <c r="F1076" s="123">
        <f t="shared" si="1"/>
        <v>1</v>
      </c>
      <c r="G1076" s="121"/>
      <c r="H1076" s="12"/>
      <c r="I1076" s="192"/>
      <c r="J1076" s="192"/>
      <c r="K1076" s="192"/>
      <c r="L1076" s="121"/>
      <c r="M1076" s="125"/>
      <c r="N1076" s="221"/>
      <c r="O1076" s="122" t="s">
        <v>8138</v>
      </c>
      <c r="P1076" s="221"/>
      <c r="Q1076" s="221"/>
      <c r="R1076" s="223"/>
      <c r="S1076" s="223"/>
      <c r="T1076" s="125"/>
      <c r="U1076" s="125"/>
      <c r="V1076" s="125"/>
      <c r="W1076" s="125"/>
      <c r="X1076" s="125"/>
      <c r="Y1076" s="125"/>
      <c r="Z1076" s="125"/>
    </row>
    <row r="1077">
      <c r="A1077" s="329"/>
      <c r="B1077" s="119"/>
      <c r="C1077" s="121"/>
      <c r="D1077" s="121"/>
      <c r="E1077" s="221"/>
      <c r="F1077" s="123">
        <f t="shared" si="1"/>
        <v>1</v>
      </c>
      <c r="G1077" s="121"/>
      <c r="H1077" s="12"/>
      <c r="I1077" s="192"/>
      <c r="J1077" s="192"/>
      <c r="K1077" s="192"/>
      <c r="L1077" s="121"/>
      <c r="M1077" s="125"/>
      <c r="N1077" s="221"/>
      <c r="O1077" s="122" t="s">
        <v>8139</v>
      </c>
      <c r="P1077" s="221"/>
      <c r="Q1077" s="221"/>
      <c r="R1077" s="223"/>
      <c r="S1077" s="223"/>
      <c r="T1077" s="125"/>
      <c r="U1077" s="125"/>
      <c r="V1077" s="125"/>
      <c r="W1077" s="125"/>
      <c r="X1077" s="125"/>
      <c r="Y1077" s="125"/>
      <c r="Z1077" s="125"/>
    </row>
    <row r="1078">
      <c r="A1078" s="329"/>
      <c r="B1078" s="119"/>
      <c r="C1078" s="121"/>
      <c r="D1078" s="121"/>
      <c r="E1078" s="221"/>
      <c r="F1078" s="123">
        <f t="shared" si="1"/>
        <v>1</v>
      </c>
      <c r="G1078" s="121"/>
      <c r="H1078" s="12"/>
      <c r="I1078" s="192"/>
      <c r="J1078" s="192"/>
      <c r="K1078" s="192"/>
      <c r="L1078" s="121"/>
      <c r="M1078" s="125"/>
      <c r="N1078" s="221"/>
      <c r="O1078" s="122" t="s">
        <v>8140</v>
      </c>
      <c r="P1078" s="221"/>
      <c r="Q1078" s="221"/>
      <c r="R1078" s="223"/>
      <c r="S1078" s="223"/>
      <c r="T1078" s="125"/>
      <c r="U1078" s="125"/>
      <c r="V1078" s="125"/>
      <c r="W1078" s="125"/>
      <c r="X1078" s="125"/>
      <c r="Y1078" s="125"/>
      <c r="Z1078" s="125"/>
    </row>
    <row r="1079">
      <c r="A1079" s="329"/>
      <c r="B1079" s="119"/>
      <c r="C1079" s="121"/>
      <c r="D1079" s="121"/>
      <c r="E1079" s="221"/>
      <c r="F1079" s="123">
        <f t="shared" si="1"/>
        <v>1</v>
      </c>
      <c r="G1079" s="121"/>
      <c r="H1079" s="12"/>
      <c r="I1079" s="192"/>
      <c r="J1079" s="192"/>
      <c r="K1079" s="192"/>
      <c r="L1079" s="121"/>
      <c r="M1079" s="125"/>
      <c r="N1079" s="221"/>
      <c r="O1079" s="122" t="s">
        <v>8141</v>
      </c>
      <c r="P1079" s="221"/>
      <c r="Q1079" s="221"/>
      <c r="R1079" s="223"/>
      <c r="S1079" s="223"/>
      <c r="T1079" s="125"/>
      <c r="U1079" s="125"/>
      <c r="V1079" s="125"/>
      <c r="W1079" s="125"/>
      <c r="X1079" s="125"/>
      <c r="Y1079" s="125"/>
      <c r="Z1079" s="125"/>
    </row>
    <row r="1080">
      <c r="A1080" s="329"/>
      <c r="B1080" s="119"/>
      <c r="C1080" s="121"/>
      <c r="D1080" s="121"/>
      <c r="E1080" s="221"/>
      <c r="F1080" s="123">
        <f t="shared" si="1"/>
        <v>1</v>
      </c>
      <c r="G1080" s="121"/>
      <c r="H1080" s="12"/>
      <c r="I1080" s="192"/>
      <c r="J1080" s="192"/>
      <c r="K1080" s="192"/>
      <c r="L1080" s="121"/>
      <c r="M1080" s="125"/>
      <c r="N1080" s="221"/>
      <c r="O1080" s="122" t="s">
        <v>8142</v>
      </c>
      <c r="P1080" s="221"/>
      <c r="Q1080" s="221"/>
      <c r="R1080" s="223"/>
      <c r="S1080" s="223"/>
      <c r="T1080" s="125"/>
      <c r="U1080" s="125"/>
      <c r="V1080" s="125"/>
      <c r="W1080" s="125"/>
      <c r="X1080" s="125"/>
      <c r="Y1080" s="125"/>
      <c r="Z1080" s="125"/>
    </row>
    <row r="1081">
      <c r="A1081" s="329"/>
      <c r="B1081" s="119"/>
      <c r="C1081" s="121"/>
      <c r="D1081" s="121"/>
      <c r="E1081" s="221"/>
      <c r="F1081" s="123">
        <f t="shared" si="1"/>
        <v>1</v>
      </c>
      <c r="G1081" s="121"/>
      <c r="H1081" s="12"/>
      <c r="I1081" s="192"/>
      <c r="J1081" s="192"/>
      <c r="K1081" s="192"/>
      <c r="L1081" s="121"/>
      <c r="M1081" s="125"/>
      <c r="N1081" s="221"/>
      <c r="O1081" s="122" t="s">
        <v>8143</v>
      </c>
      <c r="P1081" s="221"/>
      <c r="Q1081" s="221"/>
      <c r="R1081" s="223"/>
      <c r="S1081" s="223"/>
      <c r="T1081" s="125"/>
      <c r="U1081" s="125"/>
      <c r="V1081" s="125"/>
      <c r="W1081" s="125"/>
      <c r="X1081" s="125"/>
      <c r="Y1081" s="125"/>
      <c r="Z1081" s="125"/>
    </row>
    <row r="1082">
      <c r="A1082" s="329"/>
      <c r="B1082" s="119"/>
      <c r="C1082" s="121"/>
      <c r="D1082" s="121"/>
      <c r="E1082" s="221"/>
      <c r="F1082" s="123">
        <f t="shared" si="1"/>
        <v>1</v>
      </c>
      <c r="G1082" s="121"/>
      <c r="H1082" s="12"/>
      <c r="I1082" s="192"/>
      <c r="J1082" s="192"/>
      <c r="K1082" s="192"/>
      <c r="L1082" s="121"/>
      <c r="M1082" s="125"/>
      <c r="N1082" s="221"/>
      <c r="O1082" s="122" t="s">
        <v>8144</v>
      </c>
      <c r="P1082" s="221"/>
      <c r="Q1082" s="221"/>
      <c r="R1082" s="223"/>
      <c r="S1082" s="223"/>
      <c r="T1082" s="125"/>
      <c r="U1082" s="125"/>
      <c r="V1082" s="125"/>
      <c r="W1082" s="125"/>
      <c r="X1082" s="125"/>
      <c r="Y1082" s="125"/>
      <c r="Z1082" s="125"/>
    </row>
    <row r="1083">
      <c r="A1083" s="329"/>
      <c r="B1083" s="119"/>
      <c r="C1083" s="121"/>
      <c r="D1083" s="121"/>
      <c r="E1083" s="221"/>
      <c r="F1083" s="123">
        <f t="shared" si="1"/>
        <v>1</v>
      </c>
      <c r="G1083" s="121"/>
      <c r="H1083" s="12"/>
      <c r="I1083" s="192"/>
      <c r="J1083" s="192"/>
      <c r="K1083" s="192"/>
      <c r="L1083" s="121"/>
      <c r="M1083" s="125"/>
      <c r="N1083" s="221"/>
      <c r="O1083" s="122" t="s">
        <v>8145</v>
      </c>
      <c r="P1083" s="221"/>
      <c r="Q1083" s="221"/>
      <c r="R1083" s="223"/>
      <c r="S1083" s="223"/>
      <c r="T1083" s="125"/>
      <c r="U1083" s="125"/>
      <c r="V1083" s="125"/>
      <c r="W1083" s="125"/>
      <c r="X1083" s="125"/>
      <c r="Y1083" s="125"/>
      <c r="Z1083" s="125"/>
    </row>
    <row r="1084">
      <c r="A1084" s="329"/>
      <c r="B1084" s="119"/>
      <c r="C1084" s="121"/>
      <c r="D1084" s="121"/>
      <c r="E1084" s="221"/>
      <c r="F1084" s="123">
        <f t="shared" si="1"/>
        <v>1</v>
      </c>
      <c r="G1084" s="121"/>
      <c r="H1084" s="12"/>
      <c r="I1084" s="192"/>
      <c r="J1084" s="192"/>
      <c r="K1084" s="192"/>
      <c r="L1084" s="121"/>
      <c r="M1084" s="125"/>
      <c r="N1084" s="221"/>
      <c r="O1084" s="122" t="s">
        <v>8146</v>
      </c>
      <c r="P1084" s="221"/>
      <c r="Q1084" s="221"/>
      <c r="R1084" s="223"/>
      <c r="S1084" s="223"/>
      <c r="T1084" s="125"/>
      <c r="U1084" s="125"/>
      <c r="V1084" s="125"/>
      <c r="W1084" s="125"/>
      <c r="X1084" s="125"/>
      <c r="Y1084" s="125"/>
      <c r="Z1084" s="125"/>
    </row>
    <row r="1085">
      <c r="A1085" s="329"/>
      <c r="B1085" s="119"/>
      <c r="C1085" s="121"/>
      <c r="D1085" s="121"/>
      <c r="E1085" s="221"/>
      <c r="F1085" s="123">
        <f t="shared" si="1"/>
        <v>1</v>
      </c>
      <c r="G1085" s="121"/>
      <c r="H1085" s="12"/>
      <c r="I1085" s="192"/>
      <c r="J1085" s="192"/>
      <c r="K1085" s="192"/>
      <c r="L1085" s="121"/>
      <c r="M1085" s="125"/>
      <c r="N1085" s="221"/>
      <c r="O1085" s="122" t="s">
        <v>8147</v>
      </c>
      <c r="P1085" s="221"/>
      <c r="Q1085" s="221"/>
      <c r="R1085" s="223"/>
      <c r="S1085" s="223"/>
      <c r="T1085" s="125"/>
      <c r="U1085" s="125"/>
      <c r="V1085" s="125"/>
      <c r="W1085" s="125"/>
      <c r="X1085" s="125"/>
      <c r="Y1085" s="125"/>
      <c r="Z1085" s="125"/>
    </row>
    <row r="1086">
      <c r="A1086" s="329"/>
      <c r="B1086" s="119"/>
      <c r="C1086" s="121"/>
      <c r="D1086" s="121"/>
      <c r="E1086" s="221"/>
      <c r="F1086" s="123">
        <f t="shared" si="1"/>
        <v>1</v>
      </c>
      <c r="G1086" s="121"/>
      <c r="H1086" s="12"/>
      <c r="I1086" s="192"/>
      <c r="J1086" s="192"/>
      <c r="K1086" s="192"/>
      <c r="L1086" s="121"/>
      <c r="M1086" s="125"/>
      <c r="N1086" s="221"/>
      <c r="O1086" s="122" t="s">
        <v>8148</v>
      </c>
      <c r="P1086" s="221"/>
      <c r="Q1086" s="221"/>
      <c r="R1086" s="223"/>
      <c r="S1086" s="223"/>
      <c r="T1086" s="125"/>
      <c r="U1086" s="125"/>
      <c r="V1086" s="125"/>
      <c r="W1086" s="125"/>
      <c r="X1086" s="125"/>
      <c r="Y1086" s="125"/>
      <c r="Z1086" s="125"/>
    </row>
    <row r="1087">
      <c r="A1087" s="329"/>
      <c r="B1087" s="119"/>
      <c r="C1087" s="121"/>
      <c r="D1087" s="121"/>
      <c r="E1087" s="221"/>
      <c r="F1087" s="123">
        <f t="shared" si="1"/>
        <v>1</v>
      </c>
      <c r="G1087" s="121"/>
      <c r="H1087" s="12"/>
      <c r="I1087" s="192"/>
      <c r="J1087" s="192"/>
      <c r="K1087" s="192"/>
      <c r="L1087" s="121"/>
      <c r="M1087" s="125"/>
      <c r="N1087" s="221"/>
      <c r="O1087" s="122" t="s">
        <v>8149</v>
      </c>
      <c r="P1087" s="221"/>
      <c r="Q1087" s="221"/>
      <c r="R1087" s="223"/>
      <c r="S1087" s="223"/>
      <c r="T1087" s="125"/>
      <c r="U1087" s="125"/>
      <c r="V1087" s="125"/>
      <c r="W1087" s="125"/>
      <c r="X1087" s="125"/>
      <c r="Y1087" s="125"/>
      <c r="Z1087" s="125"/>
    </row>
    <row r="1088">
      <c r="A1088" s="329"/>
      <c r="B1088" s="119"/>
      <c r="C1088" s="121"/>
      <c r="D1088" s="121"/>
      <c r="E1088" s="221"/>
      <c r="F1088" s="123">
        <f t="shared" si="1"/>
        <v>1</v>
      </c>
      <c r="G1088" s="121"/>
      <c r="H1088" s="12"/>
      <c r="I1088" s="192"/>
      <c r="J1088" s="192"/>
      <c r="K1088" s="192"/>
      <c r="L1088" s="121"/>
      <c r="M1088" s="125"/>
      <c r="N1088" s="221"/>
      <c r="O1088" s="122" t="s">
        <v>8150</v>
      </c>
      <c r="P1088" s="221"/>
      <c r="Q1088" s="221"/>
      <c r="R1088" s="223"/>
      <c r="S1088" s="223"/>
      <c r="T1088" s="125"/>
      <c r="U1088" s="125"/>
      <c r="V1088" s="125"/>
      <c r="W1088" s="125"/>
      <c r="X1088" s="125"/>
      <c r="Y1088" s="125"/>
      <c r="Z1088" s="125"/>
    </row>
    <row r="1089">
      <c r="A1089" s="329"/>
      <c r="B1089" s="119"/>
      <c r="C1089" s="121"/>
      <c r="D1089" s="121"/>
      <c r="E1089" s="221"/>
      <c r="F1089" s="123">
        <f t="shared" si="1"/>
        <v>1</v>
      </c>
      <c r="G1089" s="121"/>
      <c r="H1089" s="12"/>
      <c r="I1089" s="192"/>
      <c r="J1089" s="192"/>
      <c r="K1089" s="192"/>
      <c r="L1089" s="121"/>
      <c r="M1089" s="125"/>
      <c r="N1089" s="221"/>
      <c r="O1089" s="122" t="s">
        <v>8151</v>
      </c>
      <c r="P1089" s="221"/>
      <c r="Q1089" s="221"/>
      <c r="R1089" s="223"/>
      <c r="S1089" s="223"/>
      <c r="T1089" s="125"/>
      <c r="U1089" s="125"/>
      <c r="V1089" s="125"/>
      <c r="W1089" s="125"/>
      <c r="X1089" s="125"/>
      <c r="Y1089" s="125"/>
      <c r="Z1089" s="125"/>
    </row>
    <row r="1090">
      <c r="A1090" s="329"/>
      <c r="B1090" s="119"/>
      <c r="C1090" s="121"/>
      <c r="D1090" s="121"/>
      <c r="E1090" s="221"/>
      <c r="F1090" s="123">
        <f t="shared" si="1"/>
        <v>1</v>
      </c>
      <c r="G1090" s="121"/>
      <c r="H1090" s="12"/>
      <c r="I1090" s="192"/>
      <c r="J1090" s="192"/>
      <c r="K1090" s="192"/>
      <c r="L1090" s="121"/>
      <c r="M1090" s="125"/>
      <c r="N1090" s="221"/>
      <c r="O1090" s="122" t="s">
        <v>8152</v>
      </c>
      <c r="P1090" s="221"/>
      <c r="Q1090" s="221"/>
      <c r="R1090" s="223"/>
      <c r="S1090" s="223"/>
      <c r="T1090" s="125"/>
      <c r="U1090" s="125"/>
      <c r="V1090" s="125"/>
      <c r="W1090" s="125"/>
      <c r="X1090" s="125"/>
      <c r="Y1090" s="125"/>
      <c r="Z1090" s="125"/>
    </row>
    <row r="1091">
      <c r="A1091" s="329"/>
      <c r="B1091" s="119"/>
      <c r="C1091" s="121"/>
      <c r="D1091" s="121"/>
      <c r="E1091" s="221"/>
      <c r="F1091" s="123">
        <f t="shared" si="1"/>
        <v>1</v>
      </c>
      <c r="G1091" s="121"/>
      <c r="H1091" s="12"/>
      <c r="I1091" s="192"/>
      <c r="J1091" s="192"/>
      <c r="K1091" s="192"/>
      <c r="L1091" s="121"/>
      <c r="M1091" s="125"/>
      <c r="N1091" s="221"/>
      <c r="O1091" s="122" t="s">
        <v>8153</v>
      </c>
      <c r="P1091" s="221"/>
      <c r="Q1091" s="221"/>
      <c r="R1091" s="223"/>
      <c r="S1091" s="223"/>
      <c r="T1091" s="125"/>
      <c r="U1091" s="125"/>
      <c r="V1091" s="125"/>
      <c r="W1091" s="125"/>
      <c r="X1091" s="125"/>
      <c r="Y1091" s="125"/>
      <c r="Z1091" s="125"/>
    </row>
    <row r="1092">
      <c r="A1092" s="329"/>
      <c r="B1092" s="119"/>
      <c r="C1092" s="121"/>
      <c r="D1092" s="121"/>
      <c r="E1092" s="221"/>
      <c r="F1092" s="123">
        <f t="shared" si="1"/>
        <v>1</v>
      </c>
      <c r="G1092" s="121"/>
      <c r="H1092" s="12"/>
      <c r="I1092" s="192"/>
      <c r="J1092" s="192"/>
      <c r="K1092" s="192"/>
      <c r="L1092" s="121"/>
      <c r="M1092" s="125"/>
      <c r="N1092" s="221"/>
      <c r="O1092" s="122" t="s">
        <v>8154</v>
      </c>
      <c r="P1092" s="221"/>
      <c r="Q1092" s="221"/>
      <c r="R1092" s="223"/>
      <c r="S1092" s="223"/>
      <c r="T1092" s="125"/>
      <c r="U1092" s="125"/>
      <c r="V1092" s="125"/>
      <c r="W1092" s="125"/>
      <c r="X1092" s="125"/>
      <c r="Y1092" s="125"/>
      <c r="Z1092" s="125"/>
    </row>
    <row r="1093">
      <c r="A1093" s="329"/>
      <c r="B1093" s="119"/>
      <c r="C1093" s="121"/>
      <c r="D1093" s="121"/>
      <c r="E1093" s="221"/>
      <c r="F1093" s="123">
        <f t="shared" si="1"/>
        <v>1</v>
      </c>
      <c r="G1093" s="121"/>
      <c r="H1093" s="12"/>
      <c r="I1093" s="192"/>
      <c r="J1093" s="192"/>
      <c r="K1093" s="192"/>
      <c r="L1093" s="121"/>
      <c r="M1093" s="125"/>
      <c r="N1093" s="221"/>
      <c r="O1093" s="122" t="s">
        <v>8155</v>
      </c>
      <c r="P1093" s="221"/>
      <c r="Q1093" s="221"/>
      <c r="R1093" s="223"/>
      <c r="S1093" s="223"/>
      <c r="T1093" s="125"/>
      <c r="U1093" s="125"/>
      <c r="V1093" s="125"/>
      <c r="W1093" s="125"/>
      <c r="X1093" s="125"/>
      <c r="Y1093" s="125"/>
      <c r="Z1093" s="125"/>
    </row>
    <row r="1094">
      <c r="A1094" s="329"/>
      <c r="B1094" s="119"/>
      <c r="C1094" s="121"/>
      <c r="D1094" s="121"/>
      <c r="E1094" s="221"/>
      <c r="F1094" s="123">
        <f t="shared" si="1"/>
        <v>1</v>
      </c>
      <c r="G1094" s="121"/>
      <c r="H1094" s="12"/>
      <c r="I1094" s="192"/>
      <c r="J1094" s="192"/>
      <c r="K1094" s="192"/>
      <c r="L1094" s="121"/>
      <c r="M1094" s="125"/>
      <c r="N1094" s="221"/>
      <c r="O1094" s="122" t="s">
        <v>8156</v>
      </c>
      <c r="P1094" s="221"/>
      <c r="Q1094" s="221"/>
      <c r="R1094" s="223"/>
      <c r="S1094" s="223"/>
      <c r="T1094" s="125"/>
      <c r="U1094" s="125"/>
      <c r="V1094" s="125"/>
      <c r="W1094" s="125"/>
      <c r="X1094" s="125"/>
      <c r="Y1094" s="125"/>
      <c r="Z1094" s="125"/>
    </row>
    <row r="1095">
      <c r="A1095" s="329"/>
      <c r="B1095" s="119"/>
      <c r="C1095" s="121"/>
      <c r="D1095" s="121"/>
      <c r="E1095" s="221"/>
      <c r="F1095" s="123">
        <f t="shared" si="1"/>
        <v>1</v>
      </c>
      <c r="G1095" s="121"/>
      <c r="H1095" s="12"/>
      <c r="I1095" s="192"/>
      <c r="J1095" s="192"/>
      <c r="K1095" s="192"/>
      <c r="L1095" s="121"/>
      <c r="M1095" s="125"/>
      <c r="N1095" s="221"/>
      <c r="O1095" s="122" t="s">
        <v>8157</v>
      </c>
      <c r="P1095" s="221"/>
      <c r="Q1095" s="221"/>
      <c r="R1095" s="223"/>
      <c r="S1095" s="223"/>
      <c r="T1095" s="125"/>
      <c r="U1095" s="125"/>
      <c r="V1095" s="125"/>
      <c r="W1095" s="125"/>
      <c r="X1095" s="125"/>
      <c r="Y1095" s="125"/>
      <c r="Z1095" s="125"/>
    </row>
    <row r="1096">
      <c r="A1096" s="329"/>
      <c r="B1096" s="119"/>
      <c r="C1096" s="121"/>
      <c r="D1096" s="121"/>
      <c r="E1096" s="221"/>
      <c r="F1096" s="123">
        <f t="shared" si="1"/>
        <v>1</v>
      </c>
      <c r="G1096" s="121"/>
      <c r="H1096" s="12"/>
      <c r="I1096" s="192"/>
      <c r="J1096" s="192"/>
      <c r="K1096" s="192"/>
      <c r="L1096" s="121"/>
      <c r="M1096" s="125"/>
      <c r="N1096" s="221"/>
      <c r="O1096" s="122" t="s">
        <v>8158</v>
      </c>
      <c r="P1096" s="221"/>
      <c r="Q1096" s="221"/>
      <c r="R1096" s="223"/>
      <c r="S1096" s="223"/>
      <c r="T1096" s="125"/>
      <c r="U1096" s="125"/>
      <c r="V1096" s="125"/>
      <c r="W1096" s="125"/>
      <c r="X1096" s="125"/>
      <c r="Y1096" s="125"/>
      <c r="Z1096" s="125"/>
    </row>
    <row r="1097">
      <c r="A1097" s="329"/>
      <c r="B1097" s="119"/>
      <c r="C1097" s="121"/>
      <c r="D1097" s="121"/>
      <c r="E1097" s="221"/>
      <c r="F1097" s="123">
        <f t="shared" si="1"/>
        <v>1</v>
      </c>
      <c r="G1097" s="121"/>
      <c r="H1097" s="12"/>
      <c r="I1097" s="192"/>
      <c r="J1097" s="192"/>
      <c r="K1097" s="192"/>
      <c r="L1097" s="121"/>
      <c r="M1097" s="125"/>
      <c r="N1097" s="221"/>
      <c r="O1097" s="122" t="s">
        <v>8159</v>
      </c>
      <c r="P1097" s="221"/>
      <c r="Q1097" s="221"/>
      <c r="R1097" s="223"/>
      <c r="S1097" s="223"/>
      <c r="T1097" s="125"/>
      <c r="U1097" s="125"/>
      <c r="V1097" s="125"/>
      <c r="W1097" s="125"/>
      <c r="X1097" s="125"/>
      <c r="Y1097" s="125"/>
      <c r="Z1097" s="125"/>
    </row>
    <row r="1098">
      <c r="A1098" s="329"/>
      <c r="B1098" s="119"/>
      <c r="C1098" s="121"/>
      <c r="D1098" s="121"/>
      <c r="E1098" s="221"/>
      <c r="F1098" s="123">
        <f t="shared" si="1"/>
        <v>1</v>
      </c>
      <c r="G1098" s="121"/>
      <c r="H1098" s="12"/>
      <c r="I1098" s="192"/>
      <c r="J1098" s="192"/>
      <c r="K1098" s="192"/>
      <c r="L1098" s="121"/>
      <c r="M1098" s="125"/>
      <c r="N1098" s="221"/>
      <c r="O1098" s="122" t="s">
        <v>8160</v>
      </c>
      <c r="P1098" s="221"/>
      <c r="Q1098" s="221"/>
      <c r="R1098" s="223"/>
      <c r="S1098" s="223"/>
      <c r="T1098" s="125"/>
      <c r="U1098" s="125"/>
      <c r="V1098" s="125"/>
      <c r="W1098" s="125"/>
      <c r="X1098" s="125"/>
      <c r="Y1098" s="125"/>
      <c r="Z1098" s="125"/>
    </row>
    <row r="1099">
      <c r="A1099" s="329"/>
      <c r="B1099" s="119"/>
      <c r="C1099" s="121"/>
      <c r="D1099" s="121"/>
      <c r="E1099" s="221"/>
      <c r="F1099" s="123">
        <f t="shared" si="1"/>
        <v>1</v>
      </c>
      <c r="G1099" s="121"/>
      <c r="H1099" s="12"/>
      <c r="I1099" s="192"/>
      <c r="J1099" s="192"/>
      <c r="K1099" s="192"/>
      <c r="L1099" s="121"/>
      <c r="M1099" s="125"/>
      <c r="N1099" s="221"/>
      <c r="O1099" s="122" t="s">
        <v>8161</v>
      </c>
      <c r="P1099" s="221"/>
      <c r="Q1099" s="221"/>
      <c r="R1099" s="223"/>
      <c r="S1099" s="223"/>
      <c r="T1099" s="125"/>
      <c r="U1099" s="125"/>
      <c r="V1099" s="125"/>
      <c r="W1099" s="125"/>
      <c r="X1099" s="125"/>
      <c r="Y1099" s="125"/>
      <c r="Z1099" s="125"/>
    </row>
    <row r="1100">
      <c r="A1100" s="329"/>
      <c r="B1100" s="119"/>
      <c r="C1100" s="121"/>
      <c r="D1100" s="121"/>
      <c r="E1100" s="221"/>
      <c r="F1100" s="123">
        <f t="shared" si="1"/>
        <v>1</v>
      </c>
      <c r="G1100" s="121"/>
      <c r="H1100" s="12"/>
      <c r="I1100" s="192"/>
      <c r="J1100" s="192"/>
      <c r="K1100" s="192"/>
      <c r="L1100" s="121"/>
      <c r="M1100" s="125"/>
      <c r="N1100" s="221"/>
      <c r="O1100" s="122" t="s">
        <v>8162</v>
      </c>
      <c r="P1100" s="221"/>
      <c r="Q1100" s="221"/>
      <c r="R1100" s="223"/>
      <c r="S1100" s="223"/>
      <c r="T1100" s="125"/>
      <c r="U1100" s="125"/>
      <c r="V1100" s="125"/>
      <c r="W1100" s="125"/>
      <c r="X1100" s="125"/>
      <c r="Y1100" s="125"/>
      <c r="Z1100" s="125"/>
    </row>
    <row r="1101">
      <c r="A1101" s="329"/>
      <c r="B1101" s="119"/>
      <c r="C1101" s="121"/>
      <c r="D1101" s="121"/>
      <c r="E1101" s="221"/>
      <c r="F1101" s="123">
        <f t="shared" si="1"/>
        <v>1</v>
      </c>
      <c r="G1101" s="121"/>
      <c r="H1101" s="12"/>
      <c r="I1101" s="192"/>
      <c r="J1101" s="192"/>
      <c r="K1101" s="192"/>
      <c r="L1101" s="121"/>
      <c r="M1101" s="125"/>
      <c r="N1101" s="221"/>
      <c r="O1101" s="122" t="s">
        <v>8163</v>
      </c>
      <c r="P1101" s="221"/>
      <c r="Q1101" s="221"/>
      <c r="R1101" s="223"/>
      <c r="S1101" s="223"/>
      <c r="T1101" s="125"/>
      <c r="U1101" s="125"/>
      <c r="V1101" s="125"/>
      <c r="W1101" s="125"/>
      <c r="X1101" s="125"/>
      <c r="Y1101" s="125"/>
      <c r="Z1101" s="125"/>
    </row>
    <row r="1102">
      <c r="A1102" s="329"/>
      <c r="B1102" s="119"/>
      <c r="C1102" s="121"/>
      <c r="D1102" s="121"/>
      <c r="E1102" s="221"/>
      <c r="F1102" s="123">
        <f t="shared" si="1"/>
        <v>1</v>
      </c>
      <c r="G1102" s="121"/>
      <c r="H1102" s="12"/>
      <c r="I1102" s="192"/>
      <c r="J1102" s="192"/>
      <c r="K1102" s="192"/>
      <c r="L1102" s="121"/>
      <c r="M1102" s="125"/>
      <c r="N1102" s="221"/>
      <c r="O1102" s="122" t="s">
        <v>8164</v>
      </c>
      <c r="P1102" s="221"/>
      <c r="Q1102" s="221"/>
      <c r="R1102" s="223"/>
      <c r="S1102" s="223"/>
      <c r="T1102" s="125"/>
      <c r="U1102" s="125"/>
      <c r="V1102" s="125"/>
      <c r="W1102" s="125"/>
      <c r="X1102" s="125"/>
      <c r="Y1102" s="125"/>
      <c r="Z1102" s="125"/>
    </row>
    <row r="1103">
      <c r="A1103" s="329"/>
      <c r="B1103" s="119"/>
      <c r="C1103" s="121"/>
      <c r="D1103" s="121"/>
      <c r="E1103" s="221"/>
      <c r="F1103" s="123">
        <f t="shared" si="1"/>
        <v>1</v>
      </c>
      <c r="G1103" s="121"/>
      <c r="H1103" s="12"/>
      <c r="I1103" s="192"/>
      <c r="J1103" s="192"/>
      <c r="K1103" s="192"/>
      <c r="L1103" s="121"/>
      <c r="M1103" s="125"/>
      <c r="N1103" s="221"/>
      <c r="O1103" s="122" t="s">
        <v>8165</v>
      </c>
      <c r="P1103" s="221"/>
      <c r="Q1103" s="221"/>
      <c r="R1103" s="223"/>
      <c r="S1103" s="223"/>
      <c r="T1103" s="125"/>
      <c r="U1103" s="125"/>
      <c r="V1103" s="125"/>
      <c r="W1103" s="125"/>
      <c r="X1103" s="125"/>
      <c r="Y1103" s="125"/>
      <c r="Z1103" s="125"/>
    </row>
    <row r="1104">
      <c r="A1104" s="329"/>
      <c r="B1104" s="119"/>
      <c r="C1104" s="121"/>
      <c r="D1104" s="121"/>
      <c r="E1104" s="221"/>
      <c r="F1104" s="123">
        <f t="shared" si="1"/>
        <v>1</v>
      </c>
      <c r="G1104" s="121"/>
      <c r="H1104" s="12"/>
      <c r="I1104" s="192"/>
      <c r="J1104" s="192"/>
      <c r="K1104" s="192"/>
      <c r="L1104" s="121"/>
      <c r="M1104" s="125"/>
      <c r="N1104" s="221"/>
      <c r="O1104" s="122" t="s">
        <v>8166</v>
      </c>
      <c r="P1104" s="221"/>
      <c r="Q1104" s="221"/>
      <c r="R1104" s="223"/>
      <c r="S1104" s="223"/>
      <c r="T1104" s="125"/>
      <c r="U1104" s="125"/>
      <c r="V1104" s="125"/>
      <c r="W1104" s="125"/>
      <c r="X1104" s="125"/>
      <c r="Y1104" s="125"/>
      <c r="Z1104" s="125"/>
    </row>
    <row r="1105">
      <c r="A1105" s="329"/>
      <c r="B1105" s="119"/>
      <c r="C1105" s="121"/>
      <c r="D1105" s="121"/>
      <c r="E1105" s="221"/>
      <c r="F1105" s="123">
        <f t="shared" si="1"/>
        <v>1</v>
      </c>
      <c r="G1105" s="121"/>
      <c r="H1105" s="12"/>
      <c r="I1105" s="192"/>
      <c r="J1105" s="192"/>
      <c r="K1105" s="192"/>
      <c r="L1105" s="121"/>
      <c r="M1105" s="125"/>
      <c r="N1105" s="221"/>
      <c r="O1105" s="122" t="s">
        <v>8167</v>
      </c>
      <c r="P1105" s="221"/>
      <c r="Q1105" s="221"/>
      <c r="R1105" s="223"/>
      <c r="S1105" s="223"/>
      <c r="T1105" s="125"/>
      <c r="U1105" s="125"/>
      <c r="V1105" s="125"/>
      <c r="W1105" s="125"/>
      <c r="X1105" s="125"/>
      <c r="Y1105" s="125"/>
      <c r="Z1105" s="125"/>
    </row>
    <row r="1106">
      <c r="A1106" s="329"/>
      <c r="B1106" s="119"/>
      <c r="C1106" s="121"/>
      <c r="D1106" s="121"/>
      <c r="E1106" s="221"/>
      <c r="F1106" s="123">
        <f t="shared" si="1"/>
        <v>1</v>
      </c>
      <c r="G1106" s="121"/>
      <c r="H1106" s="12"/>
      <c r="I1106" s="192"/>
      <c r="J1106" s="192"/>
      <c r="K1106" s="192"/>
      <c r="L1106" s="121"/>
      <c r="M1106" s="125"/>
      <c r="N1106" s="221"/>
      <c r="O1106" s="122" t="s">
        <v>8168</v>
      </c>
      <c r="P1106" s="221"/>
      <c r="Q1106" s="221"/>
      <c r="R1106" s="223"/>
      <c r="S1106" s="223"/>
      <c r="T1106" s="125"/>
      <c r="U1106" s="125"/>
      <c r="V1106" s="125"/>
      <c r="W1106" s="125"/>
      <c r="X1106" s="125"/>
      <c r="Y1106" s="125"/>
      <c r="Z1106" s="125"/>
    </row>
    <row r="1107">
      <c r="A1107" s="329"/>
      <c r="B1107" s="119"/>
      <c r="C1107" s="121"/>
      <c r="D1107" s="121"/>
      <c r="E1107" s="221"/>
      <c r="F1107" s="123">
        <f t="shared" si="1"/>
        <v>1</v>
      </c>
      <c r="G1107" s="121"/>
      <c r="H1107" s="12"/>
      <c r="I1107" s="192"/>
      <c r="J1107" s="192"/>
      <c r="K1107" s="192"/>
      <c r="L1107" s="121"/>
      <c r="M1107" s="125"/>
      <c r="N1107" s="221"/>
      <c r="O1107" s="122" t="s">
        <v>8169</v>
      </c>
      <c r="P1107" s="221"/>
      <c r="Q1107" s="221"/>
      <c r="R1107" s="223"/>
      <c r="S1107" s="223"/>
      <c r="T1107" s="125"/>
      <c r="U1107" s="125"/>
      <c r="V1107" s="125"/>
      <c r="W1107" s="125"/>
      <c r="X1107" s="125"/>
      <c r="Y1107" s="125"/>
      <c r="Z1107" s="125"/>
    </row>
    <row r="1108">
      <c r="A1108" s="329"/>
      <c r="B1108" s="119"/>
      <c r="C1108" s="121"/>
      <c r="D1108" s="121"/>
      <c r="E1108" s="221"/>
      <c r="F1108" s="123">
        <f t="shared" si="1"/>
        <v>1</v>
      </c>
      <c r="G1108" s="121"/>
      <c r="H1108" s="12"/>
      <c r="I1108" s="192"/>
      <c r="J1108" s="192"/>
      <c r="K1108" s="192"/>
      <c r="L1108" s="121"/>
      <c r="M1108" s="125"/>
      <c r="N1108" s="221"/>
      <c r="O1108" s="122" t="s">
        <v>8170</v>
      </c>
      <c r="P1108" s="221"/>
      <c r="Q1108" s="221"/>
      <c r="R1108" s="223"/>
      <c r="S1108" s="223"/>
      <c r="T1108" s="125"/>
      <c r="U1108" s="125"/>
      <c r="V1108" s="125"/>
      <c r="W1108" s="125"/>
      <c r="X1108" s="125"/>
      <c r="Y1108" s="125"/>
      <c r="Z1108" s="125"/>
    </row>
    <row r="1109">
      <c r="A1109" s="329"/>
      <c r="B1109" s="119"/>
      <c r="C1109" s="121"/>
      <c r="D1109" s="121"/>
      <c r="E1109" s="221"/>
      <c r="F1109" s="123">
        <f t="shared" si="1"/>
        <v>1</v>
      </c>
      <c r="G1109" s="121"/>
      <c r="H1109" s="12"/>
      <c r="I1109" s="192"/>
      <c r="J1109" s="192"/>
      <c r="K1109" s="192"/>
      <c r="L1109" s="121"/>
      <c r="M1109" s="125"/>
      <c r="N1109" s="221"/>
      <c r="O1109" s="122" t="s">
        <v>8171</v>
      </c>
      <c r="P1109" s="221"/>
      <c r="Q1109" s="221"/>
      <c r="R1109" s="223"/>
      <c r="S1109" s="223"/>
      <c r="T1109" s="125"/>
      <c r="U1109" s="125"/>
      <c r="V1109" s="125"/>
      <c r="W1109" s="125"/>
      <c r="X1109" s="125"/>
      <c r="Y1109" s="125"/>
      <c r="Z1109" s="125"/>
    </row>
    <row r="1110">
      <c r="A1110" s="329"/>
      <c r="B1110" s="119"/>
      <c r="C1110" s="121"/>
      <c r="D1110" s="121"/>
      <c r="E1110" s="221"/>
      <c r="F1110" s="123">
        <f t="shared" si="1"/>
        <v>1</v>
      </c>
      <c r="G1110" s="121"/>
      <c r="H1110" s="12"/>
      <c r="I1110" s="192"/>
      <c r="J1110" s="192"/>
      <c r="K1110" s="192"/>
      <c r="L1110" s="121"/>
      <c r="M1110" s="125"/>
      <c r="N1110" s="221"/>
      <c r="O1110" s="122" t="s">
        <v>8172</v>
      </c>
      <c r="P1110" s="221"/>
      <c r="Q1110" s="221"/>
      <c r="R1110" s="223"/>
      <c r="S1110" s="223"/>
      <c r="T1110" s="125"/>
      <c r="U1110" s="125"/>
      <c r="V1110" s="125"/>
      <c r="W1110" s="125"/>
      <c r="X1110" s="125"/>
      <c r="Y1110" s="125"/>
      <c r="Z1110" s="125"/>
    </row>
    <row r="1111">
      <c r="A1111" s="329"/>
      <c r="B1111" s="119"/>
      <c r="C1111" s="121"/>
      <c r="D1111" s="121"/>
      <c r="E1111" s="221"/>
      <c r="F1111" s="123">
        <f t="shared" si="1"/>
        <v>1</v>
      </c>
      <c r="G1111" s="121"/>
      <c r="H1111" s="12"/>
      <c r="I1111" s="192"/>
      <c r="J1111" s="192"/>
      <c r="K1111" s="192"/>
      <c r="L1111" s="121"/>
      <c r="M1111" s="125"/>
      <c r="N1111" s="221"/>
      <c r="O1111" s="122" t="s">
        <v>8173</v>
      </c>
      <c r="P1111" s="221"/>
      <c r="Q1111" s="221"/>
      <c r="R1111" s="223"/>
      <c r="S1111" s="223"/>
      <c r="T1111" s="125"/>
      <c r="U1111" s="125"/>
      <c r="V1111" s="125"/>
      <c r="W1111" s="125"/>
      <c r="X1111" s="125"/>
      <c r="Y1111" s="125"/>
      <c r="Z1111" s="125"/>
    </row>
    <row r="1112">
      <c r="A1112" s="329"/>
      <c r="B1112" s="119"/>
      <c r="C1112" s="121"/>
      <c r="D1112" s="121"/>
      <c r="E1112" s="221"/>
      <c r="F1112" s="123">
        <f t="shared" si="1"/>
        <v>1</v>
      </c>
      <c r="G1112" s="121"/>
      <c r="H1112" s="12"/>
      <c r="I1112" s="192"/>
      <c r="J1112" s="192"/>
      <c r="K1112" s="192"/>
      <c r="L1112" s="121"/>
      <c r="M1112" s="125"/>
      <c r="N1112" s="221"/>
      <c r="O1112" s="122" t="s">
        <v>8174</v>
      </c>
      <c r="P1112" s="221"/>
      <c r="Q1112" s="221"/>
      <c r="R1112" s="223"/>
      <c r="S1112" s="223"/>
      <c r="T1112" s="125"/>
      <c r="U1112" s="125"/>
      <c r="V1112" s="125"/>
      <c r="W1112" s="125"/>
      <c r="X1112" s="125"/>
      <c r="Y1112" s="125"/>
      <c r="Z1112" s="125"/>
    </row>
    <row r="1113">
      <c r="A1113" s="329"/>
      <c r="B1113" s="119"/>
      <c r="C1113" s="121"/>
      <c r="D1113" s="121"/>
      <c r="E1113" s="221"/>
      <c r="F1113" s="123">
        <f t="shared" si="1"/>
        <v>1</v>
      </c>
      <c r="G1113" s="121"/>
      <c r="H1113" s="12"/>
      <c r="I1113" s="192"/>
      <c r="J1113" s="192"/>
      <c r="K1113" s="192"/>
      <c r="L1113" s="121"/>
      <c r="M1113" s="125"/>
      <c r="N1113" s="221"/>
      <c r="O1113" s="122" t="s">
        <v>8175</v>
      </c>
      <c r="P1113" s="221"/>
      <c r="Q1113" s="221"/>
      <c r="R1113" s="223"/>
      <c r="S1113" s="223"/>
      <c r="T1113" s="125"/>
      <c r="U1113" s="125"/>
      <c r="V1113" s="125"/>
      <c r="W1113" s="125"/>
      <c r="X1113" s="125"/>
      <c r="Y1113" s="125"/>
      <c r="Z1113" s="125"/>
    </row>
    <row r="1114">
      <c r="A1114" s="329"/>
      <c r="B1114" s="119"/>
      <c r="C1114" s="121"/>
      <c r="D1114" s="121"/>
      <c r="E1114" s="221"/>
      <c r="F1114" s="123">
        <f t="shared" si="1"/>
        <v>1</v>
      </c>
      <c r="G1114" s="121"/>
      <c r="H1114" s="12"/>
      <c r="I1114" s="192"/>
      <c r="J1114" s="192"/>
      <c r="K1114" s="192"/>
      <c r="L1114" s="121"/>
      <c r="M1114" s="125"/>
      <c r="N1114" s="221"/>
      <c r="O1114" s="122" t="s">
        <v>8176</v>
      </c>
      <c r="P1114" s="221"/>
      <c r="Q1114" s="221"/>
      <c r="R1114" s="223"/>
      <c r="S1114" s="223"/>
      <c r="T1114" s="125"/>
      <c r="U1114" s="125"/>
      <c r="V1114" s="125"/>
      <c r="W1114" s="125"/>
      <c r="X1114" s="125"/>
      <c r="Y1114" s="125"/>
      <c r="Z1114" s="125"/>
    </row>
    <row r="1115">
      <c r="A1115" s="329"/>
      <c r="B1115" s="119"/>
      <c r="C1115" s="121"/>
      <c r="D1115" s="121"/>
      <c r="E1115" s="221"/>
      <c r="F1115" s="123">
        <f t="shared" si="1"/>
        <v>1</v>
      </c>
      <c r="G1115" s="121"/>
      <c r="H1115" s="12"/>
      <c r="I1115" s="192"/>
      <c r="J1115" s="192"/>
      <c r="K1115" s="192"/>
      <c r="L1115" s="121"/>
      <c r="M1115" s="125"/>
      <c r="N1115" s="221"/>
      <c r="O1115" s="122" t="s">
        <v>8177</v>
      </c>
      <c r="P1115" s="221"/>
      <c r="Q1115" s="221"/>
      <c r="R1115" s="223"/>
      <c r="S1115" s="223"/>
      <c r="T1115" s="125"/>
      <c r="U1115" s="125"/>
      <c r="V1115" s="125"/>
      <c r="W1115" s="125"/>
      <c r="X1115" s="125"/>
      <c r="Y1115" s="125"/>
      <c r="Z1115" s="125"/>
    </row>
    <row r="1116">
      <c r="A1116" s="329"/>
      <c r="B1116" s="119"/>
      <c r="C1116" s="121"/>
      <c r="D1116" s="121"/>
      <c r="E1116" s="221"/>
      <c r="F1116" s="123">
        <f t="shared" si="1"/>
        <v>1</v>
      </c>
      <c r="G1116" s="121"/>
      <c r="H1116" s="12"/>
      <c r="I1116" s="192"/>
      <c r="J1116" s="192"/>
      <c r="K1116" s="192"/>
      <c r="L1116" s="121"/>
      <c r="M1116" s="125"/>
      <c r="N1116" s="221"/>
      <c r="O1116" s="122" t="s">
        <v>8178</v>
      </c>
      <c r="P1116" s="221"/>
      <c r="Q1116" s="221"/>
      <c r="R1116" s="223"/>
      <c r="S1116" s="223"/>
      <c r="T1116" s="125"/>
      <c r="U1116" s="125"/>
      <c r="V1116" s="125"/>
      <c r="W1116" s="125"/>
      <c r="X1116" s="125"/>
      <c r="Y1116" s="125"/>
      <c r="Z1116" s="125"/>
    </row>
    <row r="1117">
      <c r="A1117" s="329"/>
      <c r="B1117" s="119"/>
      <c r="C1117" s="121"/>
      <c r="D1117" s="121"/>
      <c r="E1117" s="221"/>
      <c r="F1117" s="123">
        <f t="shared" si="1"/>
        <v>1</v>
      </c>
      <c r="G1117" s="121"/>
      <c r="H1117" s="12"/>
      <c r="I1117" s="192"/>
      <c r="J1117" s="192"/>
      <c r="K1117" s="192"/>
      <c r="L1117" s="121"/>
      <c r="M1117" s="125"/>
      <c r="N1117" s="221"/>
      <c r="O1117" s="122" t="s">
        <v>8179</v>
      </c>
      <c r="P1117" s="221"/>
      <c r="Q1117" s="221"/>
      <c r="R1117" s="223"/>
      <c r="S1117" s="223"/>
      <c r="T1117" s="125"/>
      <c r="U1117" s="125"/>
      <c r="V1117" s="125"/>
      <c r="W1117" s="125"/>
      <c r="X1117" s="125"/>
      <c r="Y1117" s="125"/>
      <c r="Z1117" s="125"/>
    </row>
    <row r="1118">
      <c r="A1118" s="329"/>
      <c r="B1118" s="119"/>
      <c r="C1118" s="121"/>
      <c r="D1118" s="121"/>
      <c r="E1118" s="221"/>
      <c r="F1118" s="123">
        <f t="shared" si="1"/>
        <v>1</v>
      </c>
      <c r="G1118" s="121"/>
      <c r="H1118" s="12"/>
      <c r="I1118" s="192"/>
      <c r="J1118" s="192"/>
      <c r="K1118" s="192"/>
      <c r="L1118" s="121"/>
      <c r="M1118" s="125"/>
      <c r="N1118" s="221"/>
      <c r="O1118" s="122" t="s">
        <v>8180</v>
      </c>
      <c r="P1118" s="221"/>
      <c r="Q1118" s="221"/>
      <c r="R1118" s="223"/>
      <c r="S1118" s="223"/>
      <c r="T1118" s="125"/>
      <c r="U1118" s="125"/>
      <c r="V1118" s="125"/>
      <c r="W1118" s="125"/>
      <c r="X1118" s="125"/>
      <c r="Y1118" s="125"/>
      <c r="Z1118" s="125"/>
    </row>
    <row r="1119">
      <c r="A1119" s="329"/>
      <c r="B1119" s="119"/>
      <c r="C1119" s="121"/>
      <c r="D1119" s="121"/>
      <c r="E1119" s="221"/>
      <c r="F1119" s="123">
        <f t="shared" si="1"/>
        <v>1</v>
      </c>
      <c r="G1119" s="121"/>
      <c r="H1119" s="12"/>
      <c r="I1119" s="192"/>
      <c r="J1119" s="192"/>
      <c r="K1119" s="192"/>
      <c r="L1119" s="121"/>
      <c r="M1119" s="125"/>
      <c r="N1119" s="221"/>
      <c r="O1119" s="122" t="s">
        <v>8181</v>
      </c>
      <c r="P1119" s="221"/>
      <c r="Q1119" s="221"/>
      <c r="R1119" s="223"/>
      <c r="S1119" s="223"/>
      <c r="T1119" s="125"/>
      <c r="U1119" s="125"/>
      <c r="V1119" s="125"/>
      <c r="W1119" s="125"/>
      <c r="X1119" s="125"/>
      <c r="Y1119" s="125"/>
      <c r="Z1119" s="125"/>
    </row>
    <row r="1120">
      <c r="A1120" s="329"/>
      <c r="B1120" s="119"/>
      <c r="C1120" s="121"/>
      <c r="D1120" s="121"/>
      <c r="E1120" s="221"/>
      <c r="F1120" s="123">
        <f t="shared" si="1"/>
        <v>1</v>
      </c>
      <c r="G1120" s="121"/>
      <c r="H1120" s="12"/>
      <c r="I1120" s="192"/>
      <c r="J1120" s="192"/>
      <c r="K1120" s="192"/>
      <c r="L1120" s="121"/>
      <c r="M1120" s="125"/>
      <c r="N1120" s="221"/>
      <c r="O1120" s="122" t="s">
        <v>8182</v>
      </c>
      <c r="P1120" s="221"/>
      <c r="Q1120" s="221"/>
      <c r="R1120" s="223"/>
      <c r="S1120" s="223"/>
      <c r="T1120" s="125"/>
      <c r="U1120" s="125"/>
      <c r="V1120" s="125"/>
      <c r="W1120" s="125"/>
      <c r="X1120" s="125"/>
      <c r="Y1120" s="125"/>
      <c r="Z1120" s="125"/>
    </row>
    <row r="1121">
      <c r="A1121" s="329"/>
      <c r="B1121" s="119"/>
      <c r="C1121" s="121"/>
      <c r="D1121" s="121"/>
      <c r="E1121" s="221"/>
      <c r="F1121" s="123">
        <f t="shared" si="1"/>
        <v>1</v>
      </c>
      <c r="G1121" s="121"/>
      <c r="H1121" s="12"/>
      <c r="I1121" s="192"/>
      <c r="J1121" s="192"/>
      <c r="K1121" s="192"/>
      <c r="L1121" s="121"/>
      <c r="M1121" s="125"/>
      <c r="N1121" s="221"/>
      <c r="O1121" s="122" t="s">
        <v>8183</v>
      </c>
      <c r="P1121" s="221"/>
      <c r="Q1121" s="221"/>
      <c r="R1121" s="223"/>
      <c r="S1121" s="223"/>
      <c r="T1121" s="125"/>
      <c r="U1121" s="125"/>
      <c r="V1121" s="125"/>
      <c r="W1121" s="125"/>
      <c r="X1121" s="125"/>
      <c r="Y1121" s="125"/>
      <c r="Z1121" s="125"/>
    </row>
    <row r="1122">
      <c r="A1122" s="329"/>
      <c r="B1122" s="119"/>
      <c r="C1122" s="121"/>
      <c r="D1122" s="121"/>
      <c r="E1122" s="221"/>
      <c r="F1122" s="123">
        <f t="shared" si="1"/>
        <v>1</v>
      </c>
      <c r="G1122" s="121"/>
      <c r="H1122" s="12"/>
      <c r="I1122" s="192"/>
      <c r="J1122" s="192"/>
      <c r="K1122" s="192"/>
      <c r="L1122" s="121"/>
      <c r="M1122" s="125"/>
      <c r="N1122" s="221"/>
      <c r="O1122" s="122" t="s">
        <v>8184</v>
      </c>
      <c r="P1122" s="221"/>
      <c r="Q1122" s="221"/>
      <c r="R1122" s="223"/>
      <c r="S1122" s="223"/>
      <c r="T1122" s="125"/>
      <c r="U1122" s="125"/>
      <c r="V1122" s="125"/>
      <c r="W1122" s="125"/>
      <c r="X1122" s="125"/>
      <c r="Y1122" s="125"/>
      <c r="Z1122" s="125"/>
    </row>
    <row r="1123">
      <c r="A1123" s="329"/>
      <c r="B1123" s="119"/>
      <c r="C1123" s="121"/>
      <c r="D1123" s="121"/>
      <c r="E1123" s="221"/>
      <c r="F1123" s="123">
        <f t="shared" si="1"/>
        <v>1</v>
      </c>
      <c r="G1123" s="121"/>
      <c r="H1123" s="12"/>
      <c r="I1123" s="192"/>
      <c r="J1123" s="192"/>
      <c r="K1123" s="192"/>
      <c r="L1123" s="121"/>
      <c r="M1123" s="125"/>
      <c r="N1123" s="221"/>
      <c r="O1123" s="122" t="s">
        <v>8185</v>
      </c>
      <c r="P1123" s="221"/>
      <c r="Q1123" s="221"/>
      <c r="R1123" s="223"/>
      <c r="S1123" s="223"/>
      <c r="T1123" s="125"/>
      <c r="U1123" s="125"/>
      <c r="V1123" s="125"/>
      <c r="W1123" s="125"/>
      <c r="X1123" s="125"/>
      <c r="Y1123" s="125"/>
      <c r="Z1123" s="125"/>
    </row>
    <row r="1124">
      <c r="A1124" s="329"/>
      <c r="B1124" s="119"/>
      <c r="C1124" s="121"/>
      <c r="D1124" s="121"/>
      <c r="E1124" s="221"/>
      <c r="F1124" s="123">
        <f t="shared" si="1"/>
        <v>1</v>
      </c>
      <c r="G1124" s="121"/>
      <c r="H1124" s="12"/>
      <c r="I1124" s="192"/>
      <c r="J1124" s="192"/>
      <c r="K1124" s="192"/>
      <c r="L1124" s="121"/>
      <c r="M1124" s="125"/>
      <c r="N1124" s="221"/>
      <c r="O1124" s="122" t="s">
        <v>8186</v>
      </c>
      <c r="P1124" s="221"/>
      <c r="Q1124" s="221"/>
      <c r="R1124" s="223"/>
      <c r="S1124" s="223"/>
      <c r="T1124" s="125"/>
      <c r="U1124" s="125"/>
      <c r="V1124" s="125"/>
      <c r="W1124" s="125"/>
      <c r="X1124" s="125"/>
      <c r="Y1124" s="125"/>
      <c r="Z1124" s="125"/>
    </row>
    <row r="1125">
      <c r="A1125" s="329"/>
      <c r="B1125" s="119"/>
      <c r="C1125" s="121"/>
      <c r="D1125" s="121"/>
      <c r="E1125" s="221"/>
      <c r="F1125" s="123">
        <f t="shared" si="1"/>
        <v>1</v>
      </c>
      <c r="G1125" s="121"/>
      <c r="H1125" s="12"/>
      <c r="I1125" s="192"/>
      <c r="J1125" s="192"/>
      <c r="K1125" s="192"/>
      <c r="L1125" s="121"/>
      <c r="M1125" s="125"/>
      <c r="N1125" s="221"/>
      <c r="O1125" s="122" t="s">
        <v>8187</v>
      </c>
      <c r="P1125" s="221"/>
      <c r="Q1125" s="221"/>
      <c r="R1125" s="223"/>
      <c r="S1125" s="223"/>
      <c r="T1125" s="125"/>
      <c r="U1125" s="125"/>
      <c r="V1125" s="125"/>
      <c r="W1125" s="125"/>
      <c r="X1125" s="125"/>
      <c r="Y1125" s="125"/>
      <c r="Z1125" s="125"/>
    </row>
    <row r="1126">
      <c r="A1126" s="329"/>
      <c r="B1126" s="119"/>
      <c r="C1126" s="121"/>
      <c r="D1126" s="121"/>
      <c r="E1126" s="221"/>
      <c r="F1126" s="123">
        <f t="shared" si="1"/>
        <v>1</v>
      </c>
      <c r="G1126" s="121"/>
      <c r="H1126" s="12"/>
      <c r="I1126" s="192"/>
      <c r="J1126" s="192"/>
      <c r="K1126" s="192"/>
      <c r="L1126" s="121"/>
      <c r="M1126" s="125"/>
      <c r="N1126" s="221"/>
      <c r="O1126" s="122" t="s">
        <v>8188</v>
      </c>
      <c r="P1126" s="221"/>
      <c r="Q1126" s="221"/>
      <c r="R1126" s="223"/>
      <c r="S1126" s="223"/>
      <c r="T1126" s="125"/>
      <c r="U1126" s="125"/>
      <c r="V1126" s="125"/>
      <c r="W1126" s="125"/>
      <c r="X1126" s="125"/>
      <c r="Y1126" s="125"/>
      <c r="Z1126" s="125"/>
    </row>
    <row r="1127">
      <c r="A1127" s="329"/>
      <c r="B1127" s="119"/>
      <c r="C1127" s="121"/>
      <c r="D1127" s="121"/>
      <c r="E1127" s="221"/>
      <c r="F1127" s="123">
        <f t="shared" si="1"/>
        <v>1</v>
      </c>
      <c r="G1127" s="121"/>
      <c r="H1127" s="12"/>
      <c r="I1127" s="192"/>
      <c r="J1127" s="192"/>
      <c r="K1127" s="192"/>
      <c r="L1127" s="121"/>
      <c r="M1127" s="125"/>
      <c r="N1127" s="221"/>
      <c r="O1127" s="122" t="s">
        <v>8189</v>
      </c>
      <c r="P1127" s="221"/>
      <c r="Q1127" s="221"/>
      <c r="R1127" s="223"/>
      <c r="S1127" s="223"/>
      <c r="T1127" s="125"/>
      <c r="U1127" s="125"/>
      <c r="V1127" s="125"/>
      <c r="W1127" s="125"/>
      <c r="X1127" s="125"/>
      <c r="Y1127" s="125"/>
      <c r="Z1127" s="125"/>
    </row>
    <row r="1128">
      <c r="A1128" s="329"/>
      <c r="B1128" s="119"/>
      <c r="C1128" s="121"/>
      <c r="D1128" s="121"/>
      <c r="E1128" s="221"/>
      <c r="F1128" s="123">
        <f t="shared" si="1"/>
        <v>1</v>
      </c>
      <c r="G1128" s="121"/>
      <c r="H1128" s="12"/>
      <c r="I1128" s="192"/>
      <c r="J1128" s="192"/>
      <c r="K1128" s="192"/>
      <c r="L1128" s="121"/>
      <c r="M1128" s="125"/>
      <c r="N1128" s="221"/>
      <c r="O1128" s="122" t="s">
        <v>8190</v>
      </c>
      <c r="P1128" s="221"/>
      <c r="Q1128" s="221"/>
      <c r="R1128" s="223"/>
      <c r="S1128" s="223"/>
      <c r="T1128" s="125"/>
      <c r="U1128" s="125"/>
      <c r="V1128" s="125"/>
      <c r="W1128" s="125"/>
      <c r="X1128" s="125"/>
      <c r="Y1128" s="125"/>
      <c r="Z1128" s="125"/>
    </row>
    <row r="1129">
      <c r="A1129" s="329"/>
      <c r="B1129" s="119"/>
      <c r="C1129" s="121"/>
      <c r="D1129" s="121"/>
      <c r="E1129" s="221"/>
      <c r="F1129" s="123">
        <f t="shared" si="1"/>
        <v>1</v>
      </c>
      <c r="G1129" s="121"/>
      <c r="H1129" s="12"/>
      <c r="I1129" s="192"/>
      <c r="J1129" s="192"/>
      <c r="K1129" s="192"/>
      <c r="L1129" s="121"/>
      <c r="M1129" s="125"/>
      <c r="N1129" s="221"/>
      <c r="O1129" s="122" t="s">
        <v>8191</v>
      </c>
      <c r="P1129" s="221"/>
      <c r="Q1129" s="221"/>
      <c r="R1129" s="223"/>
      <c r="S1129" s="223"/>
      <c r="T1129" s="125"/>
      <c r="U1129" s="125"/>
      <c r="V1129" s="125"/>
      <c r="W1129" s="125"/>
      <c r="X1129" s="125"/>
      <c r="Y1129" s="125"/>
      <c r="Z1129" s="125"/>
    </row>
    <row r="1130">
      <c r="A1130" s="329"/>
      <c r="B1130" s="119"/>
      <c r="C1130" s="121"/>
      <c r="D1130" s="121"/>
      <c r="E1130" s="221"/>
      <c r="F1130" s="123">
        <f t="shared" si="1"/>
        <v>1</v>
      </c>
      <c r="G1130" s="121"/>
      <c r="H1130" s="12"/>
      <c r="I1130" s="192"/>
      <c r="J1130" s="192"/>
      <c r="K1130" s="192"/>
      <c r="L1130" s="121"/>
      <c r="M1130" s="125"/>
      <c r="N1130" s="221"/>
      <c r="O1130" s="122" t="s">
        <v>8192</v>
      </c>
      <c r="P1130" s="221"/>
      <c r="Q1130" s="221"/>
      <c r="R1130" s="223"/>
      <c r="S1130" s="223"/>
      <c r="T1130" s="125"/>
      <c r="U1130" s="125"/>
      <c r="V1130" s="125"/>
      <c r="W1130" s="125"/>
      <c r="X1130" s="125"/>
      <c r="Y1130" s="125"/>
      <c r="Z1130" s="125"/>
    </row>
    <row r="1131">
      <c r="A1131" s="329"/>
      <c r="B1131" s="119"/>
      <c r="C1131" s="121"/>
      <c r="D1131" s="121"/>
      <c r="E1131" s="221"/>
      <c r="F1131" s="123">
        <f t="shared" si="1"/>
        <v>1</v>
      </c>
      <c r="G1131" s="121"/>
      <c r="H1131" s="12"/>
      <c r="I1131" s="192"/>
      <c r="J1131" s="192"/>
      <c r="K1131" s="192"/>
      <c r="L1131" s="121"/>
      <c r="M1131" s="125"/>
      <c r="N1131" s="221"/>
      <c r="O1131" s="122" t="s">
        <v>8193</v>
      </c>
      <c r="P1131" s="221"/>
      <c r="Q1131" s="221"/>
      <c r="R1131" s="223"/>
      <c r="S1131" s="223"/>
      <c r="T1131" s="125"/>
      <c r="U1131" s="125"/>
      <c r="V1131" s="125"/>
      <c r="W1131" s="125"/>
      <c r="X1131" s="125"/>
      <c r="Y1131" s="125"/>
      <c r="Z1131" s="125"/>
    </row>
    <row r="1132">
      <c r="A1132" s="329"/>
      <c r="B1132" s="119"/>
      <c r="C1132" s="121"/>
      <c r="D1132" s="121"/>
      <c r="E1132" s="221"/>
      <c r="F1132" s="123">
        <f t="shared" si="1"/>
        <v>1</v>
      </c>
      <c r="G1132" s="121"/>
      <c r="H1132" s="12"/>
      <c r="I1132" s="192"/>
      <c r="J1132" s="192"/>
      <c r="K1132" s="192"/>
      <c r="L1132" s="121"/>
      <c r="M1132" s="125"/>
      <c r="N1132" s="221"/>
      <c r="O1132" s="122" t="s">
        <v>8194</v>
      </c>
      <c r="P1132" s="221"/>
      <c r="Q1132" s="221"/>
      <c r="R1132" s="223"/>
      <c r="S1132" s="223"/>
      <c r="T1132" s="125"/>
      <c r="U1132" s="125"/>
      <c r="V1132" s="125"/>
      <c r="W1132" s="125"/>
      <c r="X1132" s="125"/>
      <c r="Y1132" s="125"/>
      <c r="Z1132" s="125"/>
    </row>
    <row r="1133">
      <c r="A1133" s="329"/>
      <c r="B1133" s="119"/>
      <c r="C1133" s="121"/>
      <c r="D1133" s="121"/>
      <c r="E1133" s="221"/>
      <c r="F1133" s="123">
        <f t="shared" si="1"/>
        <v>1</v>
      </c>
      <c r="G1133" s="121"/>
      <c r="H1133" s="12"/>
      <c r="I1133" s="192"/>
      <c r="J1133" s="192"/>
      <c r="K1133" s="192"/>
      <c r="L1133" s="121"/>
      <c r="M1133" s="125"/>
      <c r="N1133" s="221"/>
      <c r="O1133" s="122" t="s">
        <v>8195</v>
      </c>
      <c r="P1133" s="221"/>
      <c r="Q1133" s="221"/>
      <c r="R1133" s="223"/>
      <c r="S1133" s="223"/>
      <c r="T1133" s="125"/>
      <c r="U1133" s="125"/>
      <c r="V1133" s="125"/>
      <c r="W1133" s="125"/>
      <c r="X1133" s="125"/>
      <c r="Y1133" s="125"/>
      <c r="Z1133" s="125"/>
    </row>
    <row r="1134">
      <c r="A1134" s="329"/>
      <c r="B1134" s="119"/>
      <c r="C1134" s="121"/>
      <c r="D1134" s="121"/>
      <c r="E1134" s="221"/>
      <c r="F1134" s="123">
        <f t="shared" si="1"/>
        <v>1</v>
      </c>
      <c r="G1134" s="121"/>
      <c r="H1134" s="12"/>
      <c r="I1134" s="192"/>
      <c r="J1134" s="192"/>
      <c r="K1134" s="192"/>
      <c r="L1134" s="121"/>
      <c r="M1134" s="125"/>
      <c r="N1134" s="221"/>
      <c r="O1134" s="122" t="s">
        <v>8196</v>
      </c>
      <c r="P1134" s="221"/>
      <c r="Q1134" s="221"/>
      <c r="R1134" s="223"/>
      <c r="S1134" s="223"/>
      <c r="T1134" s="125"/>
      <c r="U1134" s="125"/>
      <c r="V1134" s="125"/>
      <c r="W1134" s="125"/>
      <c r="X1134" s="125"/>
      <c r="Y1134" s="125"/>
      <c r="Z1134" s="125"/>
    </row>
    <row r="1135">
      <c r="A1135" s="329"/>
      <c r="B1135" s="119"/>
      <c r="C1135" s="121"/>
      <c r="D1135" s="121"/>
      <c r="E1135" s="221"/>
      <c r="F1135" s="123">
        <f t="shared" si="1"/>
        <v>1</v>
      </c>
      <c r="G1135" s="121"/>
      <c r="H1135" s="12"/>
      <c r="I1135" s="192"/>
      <c r="J1135" s="192"/>
      <c r="K1135" s="192"/>
      <c r="L1135" s="121"/>
      <c r="M1135" s="125"/>
      <c r="N1135" s="221"/>
      <c r="O1135" s="122" t="s">
        <v>8197</v>
      </c>
      <c r="P1135" s="221"/>
      <c r="Q1135" s="221"/>
      <c r="R1135" s="223"/>
      <c r="S1135" s="223"/>
      <c r="T1135" s="125"/>
      <c r="U1135" s="125"/>
      <c r="V1135" s="125"/>
      <c r="W1135" s="125"/>
      <c r="X1135" s="125"/>
      <c r="Y1135" s="125"/>
      <c r="Z1135" s="125"/>
    </row>
    <row r="1136">
      <c r="A1136" s="329"/>
      <c r="B1136" s="119"/>
      <c r="C1136" s="121"/>
      <c r="D1136" s="121"/>
      <c r="E1136" s="221"/>
      <c r="F1136" s="123">
        <f t="shared" si="1"/>
        <v>1</v>
      </c>
      <c r="G1136" s="121"/>
      <c r="H1136" s="12"/>
      <c r="I1136" s="192"/>
      <c r="J1136" s="192"/>
      <c r="K1136" s="192"/>
      <c r="L1136" s="121"/>
      <c r="M1136" s="125"/>
      <c r="N1136" s="221"/>
      <c r="O1136" s="122" t="s">
        <v>8198</v>
      </c>
      <c r="P1136" s="221"/>
      <c r="Q1136" s="221"/>
      <c r="R1136" s="223"/>
      <c r="S1136" s="223"/>
      <c r="T1136" s="125"/>
      <c r="U1136" s="125"/>
      <c r="V1136" s="125"/>
      <c r="W1136" s="125"/>
      <c r="X1136" s="125"/>
      <c r="Y1136" s="125"/>
      <c r="Z1136" s="125"/>
    </row>
    <row r="1137">
      <c r="A1137" s="329"/>
      <c r="B1137" s="119"/>
      <c r="C1137" s="121"/>
      <c r="D1137" s="121"/>
      <c r="E1137" s="221"/>
      <c r="F1137" s="123">
        <f t="shared" si="1"/>
        <v>1</v>
      </c>
      <c r="G1137" s="121"/>
      <c r="H1137" s="12"/>
      <c r="I1137" s="192"/>
      <c r="J1137" s="192"/>
      <c r="K1137" s="192"/>
      <c r="L1137" s="121"/>
      <c r="M1137" s="125"/>
      <c r="N1137" s="221"/>
      <c r="O1137" s="122" t="s">
        <v>8199</v>
      </c>
      <c r="P1137" s="221"/>
      <c r="Q1137" s="221"/>
      <c r="R1137" s="223"/>
      <c r="S1137" s="223"/>
      <c r="T1137" s="125"/>
      <c r="U1137" s="125"/>
      <c r="V1137" s="125"/>
      <c r="W1137" s="125"/>
      <c r="X1137" s="125"/>
      <c r="Y1137" s="125"/>
      <c r="Z1137" s="125"/>
    </row>
    <row r="1138">
      <c r="A1138" s="329"/>
      <c r="B1138" s="119"/>
      <c r="C1138" s="121"/>
      <c r="D1138" s="121"/>
      <c r="E1138" s="221"/>
      <c r="F1138" s="123">
        <f t="shared" si="1"/>
        <v>1</v>
      </c>
      <c r="G1138" s="121"/>
      <c r="H1138" s="12"/>
      <c r="I1138" s="192"/>
      <c r="J1138" s="192"/>
      <c r="K1138" s="192"/>
      <c r="L1138" s="121"/>
      <c r="M1138" s="125"/>
      <c r="N1138" s="221"/>
      <c r="O1138" s="122" t="s">
        <v>8200</v>
      </c>
      <c r="P1138" s="221"/>
      <c r="Q1138" s="221"/>
      <c r="R1138" s="223"/>
      <c r="S1138" s="223"/>
      <c r="T1138" s="125"/>
      <c r="U1138" s="125"/>
      <c r="V1138" s="125"/>
      <c r="W1138" s="125"/>
      <c r="X1138" s="125"/>
      <c r="Y1138" s="125"/>
      <c r="Z1138" s="125"/>
    </row>
    <row r="1139">
      <c r="A1139" s="329"/>
      <c r="B1139" s="119"/>
      <c r="C1139" s="121"/>
      <c r="D1139" s="121"/>
      <c r="E1139" s="221"/>
      <c r="F1139" s="123">
        <f t="shared" si="1"/>
        <v>1</v>
      </c>
      <c r="G1139" s="121"/>
      <c r="H1139" s="12"/>
      <c r="I1139" s="192"/>
      <c r="J1139" s="192"/>
      <c r="K1139" s="192"/>
      <c r="L1139" s="121"/>
      <c r="M1139" s="125"/>
      <c r="N1139" s="221"/>
      <c r="O1139" s="122" t="s">
        <v>8201</v>
      </c>
      <c r="P1139" s="221"/>
      <c r="Q1139" s="221"/>
      <c r="R1139" s="223"/>
      <c r="S1139" s="223"/>
      <c r="T1139" s="125"/>
      <c r="U1139" s="125"/>
      <c r="V1139" s="125"/>
      <c r="W1139" s="125"/>
      <c r="X1139" s="125"/>
      <c r="Y1139" s="125"/>
      <c r="Z1139" s="125"/>
    </row>
    <row r="1140">
      <c r="A1140" s="329"/>
      <c r="B1140" s="119"/>
      <c r="C1140" s="121"/>
      <c r="D1140" s="121"/>
      <c r="E1140" s="221"/>
      <c r="F1140" s="123">
        <f t="shared" si="1"/>
        <v>1</v>
      </c>
      <c r="G1140" s="121"/>
      <c r="H1140" s="12"/>
      <c r="I1140" s="192"/>
      <c r="J1140" s="192"/>
      <c r="K1140" s="192"/>
      <c r="L1140" s="121"/>
      <c r="M1140" s="125"/>
      <c r="N1140" s="221"/>
      <c r="O1140" s="122" t="s">
        <v>8202</v>
      </c>
      <c r="P1140" s="221"/>
      <c r="Q1140" s="221"/>
      <c r="R1140" s="223"/>
      <c r="S1140" s="223"/>
      <c r="T1140" s="125"/>
      <c r="U1140" s="125"/>
      <c r="V1140" s="125"/>
      <c r="W1140" s="125"/>
      <c r="X1140" s="125"/>
      <c r="Y1140" s="125"/>
      <c r="Z1140" s="125"/>
    </row>
    <row r="1141">
      <c r="A1141" s="329"/>
      <c r="B1141" s="119"/>
      <c r="C1141" s="121"/>
      <c r="D1141" s="121"/>
      <c r="E1141" s="221"/>
      <c r="F1141" s="123">
        <f t="shared" si="1"/>
        <v>1</v>
      </c>
      <c r="G1141" s="121"/>
      <c r="H1141" s="12"/>
      <c r="I1141" s="192"/>
      <c r="J1141" s="192"/>
      <c r="K1141" s="192"/>
      <c r="L1141" s="121"/>
      <c r="M1141" s="125"/>
      <c r="N1141" s="221"/>
      <c r="O1141" s="122" t="s">
        <v>8203</v>
      </c>
      <c r="P1141" s="221"/>
      <c r="Q1141" s="221"/>
      <c r="R1141" s="223"/>
      <c r="S1141" s="223"/>
      <c r="T1141" s="125"/>
      <c r="U1141" s="125"/>
      <c r="V1141" s="125"/>
      <c r="W1141" s="125"/>
      <c r="X1141" s="125"/>
      <c r="Y1141" s="125"/>
      <c r="Z1141" s="125"/>
    </row>
    <row r="1142">
      <c r="A1142" s="329"/>
      <c r="B1142" s="119"/>
      <c r="C1142" s="121"/>
      <c r="D1142" s="121"/>
      <c r="E1142" s="221"/>
      <c r="F1142" s="123">
        <f t="shared" si="1"/>
        <v>1</v>
      </c>
      <c r="G1142" s="121"/>
      <c r="H1142" s="12"/>
      <c r="I1142" s="192"/>
      <c r="J1142" s="192"/>
      <c r="K1142" s="192"/>
      <c r="L1142" s="121"/>
      <c r="M1142" s="125"/>
      <c r="N1142" s="221"/>
      <c r="O1142" s="122" t="s">
        <v>8204</v>
      </c>
      <c r="P1142" s="221"/>
      <c r="Q1142" s="221"/>
      <c r="R1142" s="223"/>
      <c r="S1142" s="223"/>
      <c r="T1142" s="125"/>
      <c r="U1142" s="125"/>
      <c r="V1142" s="125"/>
      <c r="W1142" s="125"/>
      <c r="X1142" s="125"/>
      <c r="Y1142" s="125"/>
      <c r="Z1142" s="125"/>
    </row>
    <row r="1143">
      <c r="A1143" s="329"/>
      <c r="B1143" s="119"/>
      <c r="C1143" s="121"/>
      <c r="D1143" s="121"/>
      <c r="E1143" s="221"/>
      <c r="F1143" s="123">
        <f t="shared" si="1"/>
        <v>1</v>
      </c>
      <c r="G1143" s="121"/>
      <c r="H1143" s="12"/>
      <c r="I1143" s="192"/>
      <c r="J1143" s="192"/>
      <c r="K1143" s="192"/>
      <c r="L1143" s="121"/>
      <c r="M1143" s="125"/>
      <c r="N1143" s="221"/>
      <c r="O1143" s="122" t="s">
        <v>8205</v>
      </c>
      <c r="P1143" s="221"/>
      <c r="Q1143" s="221"/>
      <c r="R1143" s="223"/>
      <c r="S1143" s="223"/>
      <c r="T1143" s="125"/>
      <c r="U1143" s="125"/>
      <c r="V1143" s="125"/>
      <c r="W1143" s="125"/>
      <c r="X1143" s="125"/>
      <c r="Y1143" s="125"/>
      <c r="Z1143" s="125"/>
    </row>
    <row r="1144">
      <c r="A1144" s="329"/>
      <c r="B1144" s="119"/>
      <c r="C1144" s="121"/>
      <c r="D1144" s="121"/>
      <c r="E1144" s="221"/>
      <c r="F1144" s="123">
        <f t="shared" si="1"/>
        <v>1</v>
      </c>
      <c r="G1144" s="121"/>
      <c r="H1144" s="12"/>
      <c r="I1144" s="192"/>
      <c r="J1144" s="192"/>
      <c r="K1144" s="192"/>
      <c r="L1144" s="121"/>
      <c r="M1144" s="125"/>
      <c r="N1144" s="221"/>
      <c r="O1144" s="122" t="s">
        <v>8206</v>
      </c>
      <c r="P1144" s="221"/>
      <c r="Q1144" s="221"/>
      <c r="R1144" s="223"/>
      <c r="S1144" s="223"/>
      <c r="T1144" s="125"/>
      <c r="U1144" s="125"/>
      <c r="V1144" s="125"/>
      <c r="W1144" s="125"/>
      <c r="X1144" s="125"/>
      <c r="Y1144" s="125"/>
      <c r="Z1144" s="125"/>
    </row>
    <row r="1145">
      <c r="A1145" s="329"/>
      <c r="B1145" s="119"/>
      <c r="C1145" s="121"/>
      <c r="D1145" s="121"/>
      <c r="E1145" s="221"/>
      <c r="F1145" s="123">
        <f t="shared" si="1"/>
        <v>1</v>
      </c>
      <c r="G1145" s="121"/>
      <c r="H1145" s="12"/>
      <c r="I1145" s="192"/>
      <c r="J1145" s="192"/>
      <c r="K1145" s="192"/>
      <c r="L1145" s="121"/>
      <c r="M1145" s="125"/>
      <c r="N1145" s="221"/>
      <c r="O1145" s="122" t="s">
        <v>8207</v>
      </c>
      <c r="P1145" s="221"/>
      <c r="Q1145" s="221"/>
      <c r="R1145" s="223"/>
      <c r="S1145" s="223"/>
      <c r="T1145" s="125"/>
      <c r="U1145" s="125"/>
      <c r="V1145" s="125"/>
      <c r="W1145" s="125"/>
      <c r="X1145" s="125"/>
      <c r="Y1145" s="125"/>
      <c r="Z1145" s="125"/>
    </row>
    <row r="1146">
      <c r="A1146" s="329"/>
      <c r="B1146" s="119"/>
      <c r="C1146" s="121"/>
      <c r="D1146" s="121"/>
      <c r="E1146" s="221"/>
      <c r="F1146" s="123">
        <f t="shared" si="1"/>
        <v>1</v>
      </c>
      <c r="G1146" s="121"/>
      <c r="H1146" s="12"/>
      <c r="I1146" s="192"/>
      <c r="J1146" s="192"/>
      <c r="K1146" s="192"/>
      <c r="L1146" s="121"/>
      <c r="M1146" s="125"/>
      <c r="N1146" s="221"/>
      <c r="O1146" s="122" t="s">
        <v>8208</v>
      </c>
      <c r="P1146" s="221"/>
      <c r="Q1146" s="221"/>
      <c r="R1146" s="223"/>
      <c r="S1146" s="223"/>
      <c r="T1146" s="125"/>
      <c r="U1146" s="125"/>
      <c r="V1146" s="125"/>
      <c r="W1146" s="125"/>
      <c r="X1146" s="125"/>
      <c r="Y1146" s="125"/>
      <c r="Z1146" s="125"/>
    </row>
    <row r="1147">
      <c r="A1147" s="329"/>
      <c r="B1147" s="119"/>
      <c r="C1147" s="121"/>
      <c r="D1147" s="121"/>
      <c r="E1147" s="221"/>
      <c r="F1147" s="123">
        <f t="shared" si="1"/>
        <v>1</v>
      </c>
      <c r="G1147" s="121"/>
      <c r="H1147" s="12"/>
      <c r="I1147" s="192"/>
      <c r="J1147" s="192"/>
      <c r="K1147" s="192"/>
      <c r="L1147" s="121"/>
      <c r="M1147" s="125"/>
      <c r="N1147" s="221"/>
      <c r="O1147" s="122" t="s">
        <v>8209</v>
      </c>
      <c r="P1147" s="221"/>
      <c r="Q1147" s="221"/>
      <c r="R1147" s="223"/>
      <c r="S1147" s="223"/>
      <c r="T1147" s="125"/>
      <c r="U1147" s="125"/>
      <c r="V1147" s="125"/>
      <c r="W1147" s="125"/>
      <c r="X1147" s="125"/>
      <c r="Y1147" s="125"/>
      <c r="Z1147" s="125"/>
    </row>
    <row r="1148">
      <c r="A1148" s="329"/>
      <c r="B1148" s="119"/>
      <c r="C1148" s="121"/>
      <c r="D1148" s="121"/>
      <c r="E1148" s="221"/>
      <c r="F1148" s="123">
        <f t="shared" si="1"/>
        <v>1</v>
      </c>
      <c r="G1148" s="121"/>
      <c r="H1148" s="12"/>
      <c r="I1148" s="192"/>
      <c r="J1148" s="192"/>
      <c r="K1148" s="192"/>
      <c r="L1148" s="121"/>
      <c r="M1148" s="125"/>
      <c r="N1148" s="221"/>
      <c r="O1148" s="122" t="s">
        <v>8210</v>
      </c>
      <c r="P1148" s="221"/>
      <c r="Q1148" s="221"/>
      <c r="R1148" s="223"/>
      <c r="S1148" s="223"/>
      <c r="T1148" s="125"/>
      <c r="U1148" s="125"/>
      <c r="V1148" s="125"/>
      <c r="W1148" s="125"/>
      <c r="X1148" s="125"/>
      <c r="Y1148" s="125"/>
      <c r="Z1148" s="125"/>
    </row>
    <row r="1149">
      <c r="A1149" s="329"/>
      <c r="B1149" s="119"/>
      <c r="C1149" s="121"/>
      <c r="D1149" s="121"/>
      <c r="E1149" s="221"/>
      <c r="F1149" s="123">
        <f t="shared" si="1"/>
        <v>1</v>
      </c>
      <c r="G1149" s="121"/>
      <c r="H1149" s="12"/>
      <c r="I1149" s="192"/>
      <c r="J1149" s="192"/>
      <c r="K1149" s="192"/>
      <c r="L1149" s="121"/>
      <c r="M1149" s="125"/>
      <c r="N1149" s="221"/>
      <c r="O1149" s="122" t="s">
        <v>8211</v>
      </c>
      <c r="P1149" s="221"/>
      <c r="Q1149" s="221"/>
      <c r="R1149" s="223"/>
      <c r="S1149" s="223"/>
      <c r="T1149" s="125"/>
      <c r="U1149" s="125"/>
      <c r="V1149" s="125"/>
      <c r="W1149" s="125"/>
      <c r="X1149" s="125"/>
      <c r="Y1149" s="125"/>
      <c r="Z1149" s="125"/>
    </row>
    <row r="1150">
      <c r="A1150" s="329"/>
      <c r="B1150" s="119"/>
      <c r="C1150" s="121"/>
      <c r="D1150" s="121"/>
      <c r="E1150" s="221"/>
      <c r="F1150" s="123">
        <f t="shared" si="1"/>
        <v>1</v>
      </c>
      <c r="G1150" s="121"/>
      <c r="H1150" s="12"/>
      <c r="I1150" s="192"/>
      <c r="J1150" s="192"/>
      <c r="K1150" s="192"/>
      <c r="L1150" s="121"/>
      <c r="M1150" s="125"/>
      <c r="N1150" s="221"/>
      <c r="O1150" s="122" t="s">
        <v>8212</v>
      </c>
      <c r="P1150" s="221"/>
      <c r="Q1150" s="221"/>
      <c r="R1150" s="223"/>
      <c r="S1150" s="223"/>
      <c r="T1150" s="125"/>
      <c r="U1150" s="125"/>
      <c r="V1150" s="125"/>
      <c r="W1150" s="125"/>
      <c r="X1150" s="125"/>
      <c r="Y1150" s="125"/>
      <c r="Z1150" s="125"/>
    </row>
    <row r="1151">
      <c r="A1151" s="329"/>
      <c r="B1151" s="119"/>
      <c r="C1151" s="121"/>
      <c r="D1151" s="121"/>
      <c r="E1151" s="221"/>
      <c r="F1151" s="123">
        <f t="shared" si="1"/>
        <v>1</v>
      </c>
      <c r="G1151" s="121"/>
      <c r="H1151" s="12"/>
      <c r="I1151" s="192"/>
      <c r="J1151" s="192"/>
      <c r="K1151" s="192"/>
      <c r="L1151" s="121"/>
      <c r="M1151" s="125"/>
      <c r="N1151" s="221"/>
      <c r="O1151" s="122" t="s">
        <v>8213</v>
      </c>
      <c r="P1151" s="221"/>
      <c r="Q1151" s="221"/>
      <c r="R1151" s="223"/>
      <c r="S1151" s="223"/>
      <c r="T1151" s="125"/>
      <c r="U1151" s="125"/>
      <c r="V1151" s="125"/>
      <c r="W1151" s="125"/>
      <c r="X1151" s="125"/>
      <c r="Y1151" s="125"/>
      <c r="Z1151" s="125"/>
    </row>
    <row r="1152">
      <c r="A1152" s="329"/>
      <c r="B1152" s="119"/>
      <c r="C1152" s="121"/>
      <c r="D1152" s="121"/>
      <c r="E1152" s="221"/>
      <c r="F1152" s="123">
        <f t="shared" si="1"/>
        <v>1</v>
      </c>
      <c r="G1152" s="121"/>
      <c r="H1152" s="12"/>
      <c r="I1152" s="192"/>
      <c r="J1152" s="192"/>
      <c r="K1152" s="192"/>
      <c r="L1152" s="121"/>
      <c r="M1152" s="125"/>
      <c r="N1152" s="221"/>
      <c r="O1152" s="122" t="s">
        <v>8214</v>
      </c>
      <c r="P1152" s="221"/>
      <c r="Q1152" s="221"/>
      <c r="R1152" s="223"/>
      <c r="S1152" s="223"/>
      <c r="T1152" s="125"/>
      <c r="U1152" s="125"/>
      <c r="V1152" s="125"/>
      <c r="W1152" s="125"/>
      <c r="X1152" s="125"/>
      <c r="Y1152" s="125"/>
      <c r="Z1152" s="125"/>
    </row>
    <row r="1153">
      <c r="A1153" s="329"/>
      <c r="B1153" s="119"/>
      <c r="C1153" s="121"/>
      <c r="D1153" s="121"/>
      <c r="E1153" s="221"/>
      <c r="F1153" s="123">
        <f t="shared" si="1"/>
        <v>1</v>
      </c>
      <c r="G1153" s="121"/>
      <c r="H1153" s="12"/>
      <c r="I1153" s="192"/>
      <c r="J1153" s="192"/>
      <c r="K1153" s="192"/>
      <c r="L1153" s="121"/>
      <c r="M1153" s="125"/>
      <c r="N1153" s="221"/>
      <c r="O1153" s="122" t="s">
        <v>8215</v>
      </c>
      <c r="P1153" s="221"/>
      <c r="Q1153" s="221"/>
      <c r="R1153" s="223"/>
      <c r="S1153" s="223"/>
      <c r="T1153" s="125"/>
      <c r="U1153" s="125"/>
      <c r="V1153" s="125"/>
      <c r="W1153" s="125"/>
      <c r="X1153" s="125"/>
      <c r="Y1153" s="125"/>
      <c r="Z1153" s="125"/>
    </row>
    <row r="1154">
      <c r="A1154" s="329"/>
      <c r="B1154" s="119"/>
      <c r="C1154" s="121"/>
      <c r="D1154" s="121"/>
      <c r="E1154" s="221"/>
      <c r="F1154" s="123">
        <f t="shared" si="1"/>
        <v>1</v>
      </c>
      <c r="G1154" s="121"/>
      <c r="H1154" s="12"/>
      <c r="I1154" s="192"/>
      <c r="J1154" s="192"/>
      <c r="K1154" s="192"/>
      <c r="L1154" s="121"/>
      <c r="M1154" s="125"/>
      <c r="N1154" s="221"/>
      <c r="O1154" s="122" t="s">
        <v>8216</v>
      </c>
      <c r="P1154" s="221"/>
      <c r="Q1154" s="221"/>
      <c r="R1154" s="223"/>
      <c r="S1154" s="223"/>
      <c r="T1154" s="125"/>
      <c r="U1154" s="125"/>
      <c r="V1154" s="125"/>
      <c r="W1154" s="125"/>
      <c r="X1154" s="125"/>
      <c r="Y1154" s="125"/>
      <c r="Z1154" s="125"/>
    </row>
    <row r="1155">
      <c r="A1155" s="329"/>
      <c r="B1155" s="119"/>
      <c r="C1155" s="121"/>
      <c r="D1155" s="121"/>
      <c r="E1155" s="221"/>
      <c r="F1155" s="123">
        <f t="shared" si="1"/>
        <v>1</v>
      </c>
      <c r="G1155" s="121"/>
      <c r="H1155" s="12"/>
      <c r="I1155" s="192"/>
      <c r="J1155" s="192"/>
      <c r="K1155" s="192"/>
      <c r="L1155" s="121"/>
      <c r="M1155" s="125"/>
      <c r="N1155" s="221"/>
      <c r="O1155" s="122" t="s">
        <v>8217</v>
      </c>
      <c r="P1155" s="221"/>
      <c r="Q1155" s="221"/>
      <c r="R1155" s="223"/>
      <c r="S1155" s="223"/>
      <c r="T1155" s="125"/>
      <c r="U1155" s="125"/>
      <c r="V1155" s="125"/>
      <c r="W1155" s="125"/>
      <c r="X1155" s="125"/>
      <c r="Y1155" s="125"/>
      <c r="Z1155" s="125"/>
    </row>
    <row r="1156">
      <c r="A1156" s="329"/>
      <c r="B1156" s="119"/>
      <c r="C1156" s="121"/>
      <c r="D1156" s="121"/>
      <c r="E1156" s="221"/>
      <c r="F1156" s="123">
        <f t="shared" si="1"/>
        <v>1</v>
      </c>
      <c r="G1156" s="121"/>
      <c r="H1156" s="12"/>
      <c r="I1156" s="192"/>
      <c r="J1156" s="192"/>
      <c r="K1156" s="192"/>
      <c r="L1156" s="121"/>
      <c r="M1156" s="125"/>
      <c r="N1156" s="221"/>
      <c r="O1156" s="122" t="s">
        <v>8218</v>
      </c>
      <c r="P1156" s="221"/>
      <c r="Q1156" s="221"/>
      <c r="R1156" s="223"/>
      <c r="S1156" s="223"/>
      <c r="T1156" s="125"/>
      <c r="U1156" s="125"/>
      <c r="V1156" s="125"/>
      <c r="W1156" s="125"/>
      <c r="X1156" s="125"/>
      <c r="Y1156" s="125"/>
      <c r="Z1156" s="125"/>
    </row>
    <row r="1157">
      <c r="A1157" s="329"/>
      <c r="B1157" s="119"/>
      <c r="C1157" s="121"/>
      <c r="D1157" s="121"/>
      <c r="E1157" s="221"/>
      <c r="F1157" s="123">
        <f t="shared" si="1"/>
        <v>1</v>
      </c>
      <c r="G1157" s="121"/>
      <c r="H1157" s="12"/>
      <c r="I1157" s="192"/>
      <c r="J1157" s="192"/>
      <c r="K1157" s="192"/>
      <c r="L1157" s="121"/>
      <c r="M1157" s="125"/>
      <c r="N1157" s="221"/>
      <c r="O1157" s="122" t="s">
        <v>8219</v>
      </c>
      <c r="P1157" s="221"/>
      <c r="Q1157" s="221"/>
      <c r="R1157" s="223"/>
      <c r="S1157" s="223"/>
      <c r="T1157" s="125"/>
      <c r="U1157" s="125"/>
      <c r="V1157" s="125"/>
      <c r="W1157" s="125"/>
      <c r="X1157" s="125"/>
      <c r="Y1157" s="125"/>
      <c r="Z1157" s="125"/>
    </row>
    <row r="1158">
      <c r="A1158" s="329"/>
      <c r="B1158" s="119"/>
      <c r="C1158" s="121"/>
      <c r="D1158" s="121"/>
      <c r="E1158" s="221"/>
      <c r="F1158" s="123">
        <f t="shared" si="1"/>
        <v>1</v>
      </c>
      <c r="G1158" s="121"/>
      <c r="H1158" s="12"/>
      <c r="I1158" s="192"/>
      <c r="J1158" s="192"/>
      <c r="K1158" s="192"/>
      <c r="L1158" s="121"/>
      <c r="M1158" s="125"/>
      <c r="N1158" s="221"/>
      <c r="O1158" s="122" t="s">
        <v>8220</v>
      </c>
      <c r="P1158" s="221"/>
      <c r="Q1158" s="221"/>
      <c r="R1158" s="223"/>
      <c r="S1158" s="223"/>
      <c r="T1158" s="125"/>
      <c r="U1158" s="125"/>
      <c r="V1158" s="125"/>
      <c r="W1158" s="125"/>
      <c r="X1158" s="125"/>
      <c r="Y1158" s="125"/>
      <c r="Z1158" s="125"/>
    </row>
    <row r="1159">
      <c r="A1159" s="329"/>
      <c r="B1159" s="119"/>
      <c r="C1159" s="121"/>
      <c r="D1159" s="121"/>
      <c r="E1159" s="221"/>
      <c r="F1159" s="123">
        <f t="shared" si="1"/>
        <v>1</v>
      </c>
      <c r="G1159" s="121"/>
      <c r="H1159" s="12"/>
      <c r="I1159" s="192"/>
      <c r="J1159" s="192"/>
      <c r="K1159" s="192"/>
      <c r="L1159" s="121"/>
      <c r="M1159" s="125"/>
      <c r="N1159" s="221"/>
      <c r="O1159" s="122" t="s">
        <v>8221</v>
      </c>
      <c r="P1159" s="221"/>
      <c r="Q1159" s="221"/>
      <c r="R1159" s="223"/>
      <c r="S1159" s="223"/>
      <c r="T1159" s="125"/>
      <c r="U1159" s="125"/>
      <c r="V1159" s="125"/>
      <c r="W1159" s="125"/>
      <c r="X1159" s="125"/>
      <c r="Y1159" s="125"/>
      <c r="Z1159" s="125"/>
    </row>
    <row r="1160">
      <c r="A1160" s="329"/>
      <c r="B1160" s="119"/>
      <c r="C1160" s="121"/>
      <c r="D1160" s="121"/>
      <c r="E1160" s="221"/>
      <c r="F1160" s="123">
        <f t="shared" si="1"/>
        <v>1</v>
      </c>
      <c r="G1160" s="121"/>
      <c r="H1160" s="12"/>
      <c r="I1160" s="192"/>
      <c r="J1160" s="192"/>
      <c r="K1160" s="192"/>
      <c r="L1160" s="121"/>
      <c r="M1160" s="125"/>
      <c r="N1160" s="221"/>
      <c r="O1160" s="122" t="s">
        <v>8222</v>
      </c>
      <c r="P1160" s="221"/>
      <c r="Q1160" s="221"/>
      <c r="R1160" s="223"/>
      <c r="S1160" s="223"/>
      <c r="T1160" s="125"/>
      <c r="U1160" s="125"/>
      <c r="V1160" s="125"/>
      <c r="W1160" s="125"/>
      <c r="X1160" s="125"/>
      <c r="Y1160" s="125"/>
      <c r="Z1160" s="125"/>
    </row>
    <row r="1161">
      <c r="A1161" s="329"/>
      <c r="B1161" s="119"/>
      <c r="C1161" s="121"/>
      <c r="D1161" s="121"/>
      <c r="E1161" s="221"/>
      <c r="F1161" s="123">
        <f t="shared" si="1"/>
        <v>1</v>
      </c>
      <c r="G1161" s="121"/>
      <c r="H1161" s="12"/>
      <c r="I1161" s="192"/>
      <c r="J1161" s="192"/>
      <c r="K1161" s="192"/>
      <c r="L1161" s="121"/>
      <c r="M1161" s="125"/>
      <c r="N1161" s="221"/>
      <c r="O1161" s="122" t="s">
        <v>8223</v>
      </c>
      <c r="P1161" s="221"/>
      <c r="Q1161" s="221"/>
      <c r="R1161" s="223"/>
      <c r="S1161" s="223"/>
      <c r="T1161" s="125"/>
      <c r="U1161" s="125"/>
      <c r="V1161" s="125"/>
      <c r="W1161" s="125"/>
      <c r="X1161" s="125"/>
      <c r="Y1161" s="125"/>
      <c r="Z1161" s="125"/>
    </row>
    <row r="1162">
      <c r="A1162" s="329"/>
      <c r="B1162" s="119"/>
      <c r="C1162" s="121"/>
      <c r="D1162" s="121"/>
      <c r="E1162" s="221"/>
      <c r="F1162" s="123">
        <f t="shared" si="1"/>
        <v>1</v>
      </c>
      <c r="G1162" s="121"/>
      <c r="H1162" s="12"/>
      <c r="I1162" s="192"/>
      <c r="J1162" s="192"/>
      <c r="K1162" s="192"/>
      <c r="L1162" s="121"/>
      <c r="M1162" s="125"/>
      <c r="N1162" s="221"/>
      <c r="O1162" s="122" t="s">
        <v>8224</v>
      </c>
      <c r="P1162" s="221"/>
      <c r="Q1162" s="221"/>
      <c r="R1162" s="223"/>
      <c r="S1162" s="223"/>
      <c r="T1162" s="125"/>
      <c r="U1162" s="125"/>
      <c r="V1162" s="125"/>
      <c r="W1162" s="125"/>
      <c r="X1162" s="125"/>
      <c r="Y1162" s="125"/>
      <c r="Z1162" s="125"/>
    </row>
    <row r="1163">
      <c r="A1163" s="329"/>
      <c r="B1163" s="119"/>
      <c r="C1163" s="121"/>
      <c r="D1163" s="121"/>
      <c r="E1163" s="221"/>
      <c r="F1163" s="123">
        <f t="shared" si="1"/>
        <v>1</v>
      </c>
      <c r="G1163" s="121"/>
      <c r="H1163" s="12"/>
      <c r="I1163" s="192"/>
      <c r="J1163" s="192"/>
      <c r="K1163" s="192"/>
      <c r="L1163" s="121"/>
      <c r="M1163" s="125"/>
      <c r="N1163" s="221"/>
      <c r="O1163" s="122" t="s">
        <v>8225</v>
      </c>
      <c r="P1163" s="221"/>
      <c r="Q1163" s="221"/>
      <c r="R1163" s="223"/>
      <c r="S1163" s="223"/>
      <c r="T1163" s="125"/>
      <c r="U1163" s="125"/>
      <c r="V1163" s="125"/>
      <c r="W1163" s="125"/>
      <c r="X1163" s="125"/>
      <c r="Y1163" s="125"/>
      <c r="Z1163" s="125"/>
    </row>
    <row r="1164">
      <c r="A1164" s="329"/>
      <c r="B1164" s="119"/>
      <c r="C1164" s="121"/>
      <c r="D1164" s="121"/>
      <c r="E1164" s="221"/>
      <c r="F1164" s="123">
        <f t="shared" si="1"/>
        <v>1</v>
      </c>
      <c r="G1164" s="121"/>
      <c r="H1164" s="12"/>
      <c r="I1164" s="192"/>
      <c r="J1164" s="192"/>
      <c r="K1164" s="192"/>
      <c r="L1164" s="121"/>
      <c r="M1164" s="125"/>
      <c r="N1164" s="221"/>
      <c r="O1164" s="122" t="s">
        <v>8226</v>
      </c>
      <c r="P1164" s="221"/>
      <c r="Q1164" s="221"/>
      <c r="R1164" s="223"/>
      <c r="S1164" s="223"/>
      <c r="T1164" s="125"/>
      <c r="U1164" s="125"/>
      <c r="V1164" s="125"/>
      <c r="W1164" s="125"/>
      <c r="X1164" s="125"/>
      <c r="Y1164" s="125"/>
      <c r="Z1164" s="125"/>
    </row>
    <row r="1165">
      <c r="A1165" s="329"/>
      <c r="B1165" s="119"/>
      <c r="C1165" s="121"/>
      <c r="D1165" s="121"/>
      <c r="E1165" s="221"/>
      <c r="F1165" s="123">
        <f t="shared" si="1"/>
        <v>1</v>
      </c>
      <c r="G1165" s="121"/>
      <c r="H1165" s="12"/>
      <c r="I1165" s="192"/>
      <c r="J1165" s="192"/>
      <c r="K1165" s="192"/>
      <c r="L1165" s="121"/>
      <c r="M1165" s="125"/>
      <c r="N1165" s="221"/>
      <c r="O1165" s="122" t="s">
        <v>8227</v>
      </c>
      <c r="P1165" s="221"/>
      <c r="Q1165" s="221"/>
      <c r="R1165" s="223"/>
      <c r="S1165" s="223"/>
      <c r="T1165" s="125"/>
      <c r="U1165" s="125"/>
      <c r="V1165" s="125"/>
      <c r="W1165" s="125"/>
      <c r="X1165" s="125"/>
      <c r="Y1165" s="125"/>
      <c r="Z1165" s="125"/>
    </row>
    <row r="1166">
      <c r="A1166" s="329"/>
      <c r="B1166" s="119"/>
      <c r="C1166" s="121"/>
      <c r="D1166" s="121"/>
      <c r="E1166" s="221"/>
      <c r="F1166" s="123">
        <f t="shared" si="1"/>
        <v>1</v>
      </c>
      <c r="G1166" s="121"/>
      <c r="H1166" s="12"/>
      <c r="I1166" s="192"/>
      <c r="J1166" s="192"/>
      <c r="K1166" s="192"/>
      <c r="L1166" s="121"/>
      <c r="M1166" s="125"/>
      <c r="N1166" s="221"/>
      <c r="O1166" s="122" t="s">
        <v>8228</v>
      </c>
      <c r="P1166" s="221"/>
      <c r="Q1166" s="221"/>
      <c r="R1166" s="223"/>
      <c r="S1166" s="223"/>
      <c r="T1166" s="125"/>
      <c r="U1166" s="125"/>
      <c r="V1166" s="125"/>
      <c r="W1166" s="125"/>
      <c r="X1166" s="125"/>
      <c r="Y1166" s="125"/>
      <c r="Z1166" s="125"/>
    </row>
    <row r="1167">
      <c r="A1167" s="329"/>
      <c r="B1167" s="119"/>
      <c r="C1167" s="121"/>
      <c r="D1167" s="121"/>
      <c r="E1167" s="221"/>
      <c r="F1167" s="123">
        <f t="shared" si="1"/>
        <v>1</v>
      </c>
      <c r="G1167" s="121"/>
      <c r="H1167" s="12"/>
      <c r="I1167" s="192"/>
      <c r="J1167" s="192"/>
      <c r="K1167" s="192"/>
      <c r="L1167" s="121"/>
      <c r="M1167" s="125"/>
      <c r="N1167" s="221"/>
      <c r="O1167" s="122" t="s">
        <v>8229</v>
      </c>
      <c r="P1167" s="221"/>
      <c r="Q1167" s="221"/>
      <c r="R1167" s="223"/>
      <c r="S1167" s="223"/>
      <c r="T1167" s="125"/>
      <c r="U1167" s="125"/>
      <c r="V1167" s="125"/>
      <c r="W1167" s="125"/>
      <c r="X1167" s="125"/>
      <c r="Y1167" s="125"/>
      <c r="Z1167" s="125"/>
    </row>
    <row r="1168">
      <c r="A1168" s="329"/>
      <c r="B1168" s="119"/>
      <c r="C1168" s="121"/>
      <c r="D1168" s="121"/>
      <c r="E1168" s="221"/>
      <c r="F1168" s="123">
        <f t="shared" si="1"/>
        <v>1</v>
      </c>
      <c r="G1168" s="121"/>
      <c r="H1168" s="12"/>
      <c r="I1168" s="192"/>
      <c r="J1168" s="192"/>
      <c r="K1168" s="192"/>
      <c r="L1168" s="121"/>
      <c r="M1168" s="125"/>
      <c r="N1168" s="221"/>
      <c r="O1168" s="122" t="s">
        <v>8230</v>
      </c>
      <c r="P1168" s="221"/>
      <c r="Q1168" s="221"/>
      <c r="R1168" s="223"/>
      <c r="S1168" s="223"/>
      <c r="T1168" s="125"/>
      <c r="U1168" s="125"/>
      <c r="V1168" s="125"/>
      <c r="W1168" s="125"/>
      <c r="X1168" s="125"/>
      <c r="Y1168" s="125"/>
      <c r="Z1168" s="125"/>
    </row>
    <row r="1169">
      <c r="A1169" s="329"/>
      <c r="B1169" s="119"/>
      <c r="C1169" s="121"/>
      <c r="D1169" s="121"/>
      <c r="E1169" s="221"/>
      <c r="F1169" s="123">
        <f t="shared" si="1"/>
        <v>1</v>
      </c>
      <c r="G1169" s="121"/>
      <c r="H1169" s="12"/>
      <c r="I1169" s="192"/>
      <c r="J1169" s="192"/>
      <c r="K1169" s="192"/>
      <c r="L1169" s="121"/>
      <c r="M1169" s="125"/>
      <c r="N1169" s="221"/>
      <c r="O1169" s="122" t="s">
        <v>8231</v>
      </c>
      <c r="P1169" s="221"/>
      <c r="Q1169" s="221"/>
      <c r="R1169" s="223"/>
      <c r="S1169" s="223"/>
      <c r="T1169" s="125"/>
      <c r="U1169" s="125"/>
      <c r="V1169" s="125"/>
      <c r="W1169" s="125"/>
      <c r="X1169" s="125"/>
      <c r="Y1169" s="125"/>
      <c r="Z1169" s="125"/>
    </row>
    <row r="1170">
      <c r="A1170" s="329"/>
      <c r="B1170" s="119"/>
      <c r="C1170" s="121"/>
      <c r="D1170" s="121"/>
      <c r="E1170" s="221"/>
      <c r="F1170" s="123">
        <f t="shared" si="1"/>
        <v>1</v>
      </c>
      <c r="G1170" s="121"/>
      <c r="H1170" s="12"/>
      <c r="I1170" s="192"/>
      <c r="J1170" s="192"/>
      <c r="K1170" s="192"/>
      <c r="L1170" s="121"/>
      <c r="M1170" s="125"/>
      <c r="N1170" s="221"/>
      <c r="O1170" s="122" t="s">
        <v>8232</v>
      </c>
      <c r="P1170" s="221"/>
      <c r="Q1170" s="221"/>
      <c r="R1170" s="223"/>
      <c r="S1170" s="223"/>
      <c r="T1170" s="125"/>
      <c r="U1170" s="125"/>
      <c r="V1170" s="125"/>
      <c r="W1170" s="125"/>
      <c r="X1170" s="125"/>
      <c r="Y1170" s="125"/>
      <c r="Z1170" s="125"/>
    </row>
    <row r="1171">
      <c r="A1171" s="329"/>
      <c r="B1171" s="119"/>
      <c r="C1171" s="121"/>
      <c r="D1171" s="121"/>
      <c r="E1171" s="221"/>
      <c r="F1171" s="123">
        <f t="shared" si="1"/>
        <v>1</v>
      </c>
      <c r="G1171" s="121"/>
      <c r="H1171" s="12"/>
      <c r="I1171" s="192"/>
      <c r="J1171" s="192"/>
      <c r="K1171" s="192"/>
      <c r="L1171" s="121"/>
      <c r="M1171" s="125"/>
      <c r="N1171" s="221"/>
      <c r="O1171" s="122" t="s">
        <v>8233</v>
      </c>
      <c r="P1171" s="221"/>
      <c r="Q1171" s="221"/>
      <c r="R1171" s="223"/>
      <c r="S1171" s="223"/>
      <c r="T1171" s="125"/>
      <c r="U1171" s="125"/>
      <c r="V1171" s="125"/>
      <c r="W1171" s="125"/>
      <c r="X1171" s="125"/>
      <c r="Y1171" s="125"/>
      <c r="Z1171" s="125"/>
    </row>
    <row r="1172">
      <c r="A1172" s="329"/>
      <c r="B1172" s="119"/>
      <c r="C1172" s="121"/>
      <c r="D1172" s="121"/>
      <c r="E1172" s="221"/>
      <c r="F1172" s="123">
        <f t="shared" si="1"/>
        <v>1</v>
      </c>
      <c r="G1172" s="121"/>
      <c r="H1172" s="12"/>
      <c r="I1172" s="192"/>
      <c r="J1172" s="192"/>
      <c r="K1172" s="192"/>
      <c r="L1172" s="121"/>
      <c r="M1172" s="125"/>
      <c r="N1172" s="221"/>
      <c r="O1172" s="122" t="s">
        <v>8234</v>
      </c>
      <c r="P1172" s="221"/>
      <c r="Q1172" s="221"/>
      <c r="R1172" s="223"/>
      <c r="S1172" s="223"/>
      <c r="T1172" s="125"/>
      <c r="U1172" s="125"/>
      <c r="V1172" s="125"/>
      <c r="W1172" s="125"/>
      <c r="X1172" s="125"/>
      <c r="Y1172" s="125"/>
      <c r="Z1172" s="125"/>
    </row>
    <row r="1173">
      <c r="A1173" s="329"/>
      <c r="B1173" s="119"/>
      <c r="C1173" s="121"/>
      <c r="D1173" s="121"/>
      <c r="E1173" s="221"/>
      <c r="F1173" s="123">
        <f t="shared" si="1"/>
        <v>1</v>
      </c>
      <c r="G1173" s="121"/>
      <c r="H1173" s="12"/>
      <c r="I1173" s="192"/>
      <c r="J1173" s="192"/>
      <c r="K1173" s="192"/>
      <c r="L1173" s="121"/>
      <c r="M1173" s="125"/>
      <c r="N1173" s="221"/>
      <c r="O1173" s="122" t="s">
        <v>8235</v>
      </c>
      <c r="P1173" s="221"/>
      <c r="Q1173" s="221"/>
      <c r="R1173" s="223"/>
      <c r="S1173" s="223"/>
      <c r="T1173" s="125"/>
      <c r="U1173" s="125"/>
      <c r="V1173" s="125"/>
      <c r="W1173" s="125"/>
      <c r="X1173" s="125"/>
      <c r="Y1173" s="125"/>
      <c r="Z1173" s="125"/>
    </row>
    <row r="1174">
      <c r="A1174" s="329"/>
      <c r="B1174" s="119"/>
      <c r="C1174" s="121"/>
      <c r="D1174" s="121"/>
      <c r="E1174" s="221"/>
      <c r="F1174" s="123">
        <f t="shared" si="1"/>
        <v>1</v>
      </c>
      <c r="G1174" s="121"/>
      <c r="H1174" s="12"/>
      <c r="I1174" s="192"/>
      <c r="J1174" s="192"/>
      <c r="K1174" s="192"/>
      <c r="L1174" s="121"/>
      <c r="M1174" s="125"/>
      <c r="N1174" s="221"/>
      <c r="O1174" s="122" t="s">
        <v>8236</v>
      </c>
      <c r="P1174" s="221"/>
      <c r="Q1174" s="221"/>
      <c r="R1174" s="223"/>
      <c r="S1174" s="223"/>
      <c r="T1174" s="125"/>
      <c r="U1174" s="125"/>
      <c r="V1174" s="125"/>
      <c r="W1174" s="125"/>
      <c r="X1174" s="125"/>
      <c r="Y1174" s="125"/>
      <c r="Z1174" s="125"/>
    </row>
    <row r="1175">
      <c r="A1175" s="329"/>
      <c r="B1175" s="119"/>
      <c r="C1175" s="121"/>
      <c r="D1175" s="121"/>
      <c r="E1175" s="221"/>
      <c r="F1175" s="123">
        <f t="shared" si="1"/>
        <v>1</v>
      </c>
      <c r="G1175" s="121"/>
      <c r="H1175" s="12"/>
      <c r="I1175" s="192"/>
      <c r="J1175" s="192"/>
      <c r="K1175" s="192"/>
      <c r="L1175" s="121"/>
      <c r="M1175" s="125"/>
      <c r="N1175" s="221"/>
      <c r="O1175" s="122" t="s">
        <v>8237</v>
      </c>
      <c r="P1175" s="221"/>
      <c r="Q1175" s="221"/>
      <c r="R1175" s="223"/>
      <c r="S1175" s="223"/>
      <c r="T1175" s="125"/>
      <c r="U1175" s="125"/>
      <c r="V1175" s="125"/>
      <c r="W1175" s="125"/>
      <c r="X1175" s="125"/>
      <c r="Y1175" s="125"/>
      <c r="Z1175" s="125"/>
    </row>
    <row r="1176">
      <c r="A1176" s="329"/>
      <c r="B1176" s="119"/>
      <c r="C1176" s="121"/>
      <c r="D1176" s="121"/>
      <c r="E1176" s="221"/>
      <c r="F1176" s="123">
        <f t="shared" si="1"/>
        <v>1</v>
      </c>
      <c r="G1176" s="121"/>
      <c r="H1176" s="12"/>
      <c r="I1176" s="192"/>
      <c r="J1176" s="192"/>
      <c r="K1176" s="192"/>
      <c r="L1176" s="121"/>
      <c r="M1176" s="125"/>
      <c r="N1176" s="221"/>
      <c r="O1176" s="122" t="s">
        <v>8238</v>
      </c>
      <c r="P1176" s="221"/>
      <c r="Q1176" s="221"/>
      <c r="R1176" s="223"/>
      <c r="S1176" s="223"/>
      <c r="T1176" s="125"/>
      <c r="U1176" s="125"/>
      <c r="V1176" s="125"/>
      <c r="W1176" s="125"/>
      <c r="X1176" s="125"/>
      <c r="Y1176" s="125"/>
      <c r="Z1176" s="125"/>
    </row>
    <row r="1177">
      <c r="A1177" s="329"/>
      <c r="B1177" s="119"/>
      <c r="C1177" s="121"/>
      <c r="D1177" s="121"/>
      <c r="E1177" s="221"/>
      <c r="F1177" s="123">
        <f t="shared" si="1"/>
        <v>1</v>
      </c>
      <c r="G1177" s="121"/>
      <c r="H1177" s="12"/>
      <c r="I1177" s="192"/>
      <c r="J1177" s="192"/>
      <c r="K1177" s="192"/>
      <c r="L1177" s="121"/>
      <c r="M1177" s="125"/>
      <c r="N1177" s="221"/>
      <c r="O1177" s="122" t="s">
        <v>8239</v>
      </c>
      <c r="P1177" s="221"/>
      <c r="Q1177" s="221"/>
      <c r="R1177" s="223"/>
      <c r="S1177" s="223"/>
      <c r="T1177" s="125"/>
      <c r="U1177" s="125"/>
      <c r="V1177" s="125"/>
      <c r="W1177" s="125"/>
      <c r="X1177" s="125"/>
      <c r="Y1177" s="125"/>
      <c r="Z1177" s="125"/>
    </row>
    <row r="1178">
      <c r="A1178" s="329"/>
      <c r="B1178" s="119"/>
      <c r="C1178" s="121"/>
      <c r="D1178" s="121"/>
      <c r="E1178" s="221"/>
      <c r="F1178" s="123">
        <f t="shared" si="1"/>
        <v>1</v>
      </c>
      <c r="G1178" s="121"/>
      <c r="H1178" s="12"/>
      <c r="I1178" s="192"/>
      <c r="J1178" s="192"/>
      <c r="K1178" s="192"/>
      <c r="L1178" s="121"/>
      <c r="M1178" s="125"/>
      <c r="N1178" s="221"/>
      <c r="O1178" s="122" t="s">
        <v>8240</v>
      </c>
      <c r="P1178" s="221"/>
      <c r="Q1178" s="221"/>
      <c r="R1178" s="223"/>
      <c r="S1178" s="223"/>
      <c r="T1178" s="125"/>
      <c r="U1178" s="125"/>
      <c r="V1178" s="125"/>
      <c r="W1178" s="125"/>
      <c r="X1178" s="125"/>
      <c r="Y1178" s="125"/>
      <c r="Z1178" s="125"/>
    </row>
    <row r="1179">
      <c r="A1179" s="329"/>
      <c r="B1179" s="119"/>
      <c r="C1179" s="121"/>
      <c r="D1179" s="121"/>
      <c r="E1179" s="221"/>
      <c r="F1179" s="123">
        <f t="shared" si="1"/>
        <v>1</v>
      </c>
      <c r="G1179" s="121"/>
      <c r="H1179" s="12"/>
      <c r="I1179" s="192"/>
      <c r="J1179" s="192"/>
      <c r="K1179" s="192"/>
      <c r="L1179" s="121"/>
      <c r="M1179" s="125"/>
      <c r="N1179" s="221"/>
      <c r="O1179" s="122" t="s">
        <v>8241</v>
      </c>
      <c r="P1179" s="221"/>
      <c r="Q1179" s="221"/>
      <c r="R1179" s="223"/>
      <c r="S1179" s="223"/>
      <c r="T1179" s="125"/>
      <c r="U1179" s="125"/>
      <c r="V1179" s="125"/>
      <c r="W1179" s="125"/>
      <c r="X1179" s="125"/>
      <c r="Y1179" s="125"/>
      <c r="Z1179" s="125"/>
    </row>
    <row r="1180">
      <c r="A1180" s="329"/>
      <c r="B1180" s="119"/>
      <c r="C1180" s="121"/>
      <c r="D1180" s="121"/>
      <c r="E1180" s="221"/>
      <c r="F1180" s="123">
        <f t="shared" si="1"/>
        <v>1</v>
      </c>
      <c r="G1180" s="121"/>
      <c r="H1180" s="12"/>
      <c r="I1180" s="192"/>
      <c r="J1180" s="192"/>
      <c r="K1180" s="192"/>
      <c r="L1180" s="121"/>
      <c r="M1180" s="125"/>
      <c r="N1180" s="221"/>
      <c r="O1180" s="122" t="s">
        <v>8242</v>
      </c>
      <c r="P1180" s="221"/>
      <c r="Q1180" s="221"/>
      <c r="R1180" s="223"/>
      <c r="S1180" s="223"/>
      <c r="T1180" s="125"/>
      <c r="U1180" s="125"/>
      <c r="V1180" s="125"/>
      <c r="W1180" s="125"/>
      <c r="X1180" s="125"/>
      <c r="Y1180" s="125"/>
      <c r="Z1180" s="125"/>
    </row>
    <row r="1181">
      <c r="A1181" s="329"/>
      <c r="B1181" s="119"/>
      <c r="C1181" s="121"/>
      <c r="D1181" s="121"/>
      <c r="E1181" s="221"/>
      <c r="F1181" s="123">
        <f t="shared" si="1"/>
        <v>1</v>
      </c>
      <c r="G1181" s="121"/>
      <c r="H1181" s="12"/>
      <c r="I1181" s="192"/>
      <c r="J1181" s="192"/>
      <c r="K1181" s="192"/>
      <c r="L1181" s="121"/>
      <c r="M1181" s="125"/>
      <c r="N1181" s="221"/>
      <c r="O1181" s="122" t="s">
        <v>8243</v>
      </c>
      <c r="P1181" s="221"/>
      <c r="Q1181" s="221"/>
      <c r="R1181" s="223"/>
      <c r="S1181" s="223"/>
      <c r="T1181" s="125"/>
      <c r="U1181" s="125"/>
      <c r="V1181" s="125"/>
      <c r="W1181" s="125"/>
      <c r="X1181" s="125"/>
      <c r="Y1181" s="125"/>
      <c r="Z1181" s="125"/>
    </row>
    <row r="1182">
      <c r="A1182" s="329"/>
      <c r="B1182" s="119"/>
      <c r="C1182" s="121"/>
      <c r="D1182" s="121"/>
      <c r="E1182" s="221"/>
      <c r="F1182" s="123">
        <f t="shared" si="1"/>
        <v>1</v>
      </c>
      <c r="G1182" s="121"/>
      <c r="H1182" s="12"/>
      <c r="I1182" s="192"/>
      <c r="J1182" s="192"/>
      <c r="K1182" s="192"/>
      <c r="L1182" s="121"/>
      <c r="M1182" s="125"/>
      <c r="N1182" s="221"/>
      <c r="O1182" s="122" t="s">
        <v>8244</v>
      </c>
      <c r="P1182" s="221"/>
      <c r="Q1182" s="221"/>
      <c r="R1182" s="223"/>
      <c r="S1182" s="223"/>
      <c r="T1182" s="125"/>
      <c r="U1182" s="125"/>
      <c r="V1182" s="125"/>
      <c r="W1182" s="125"/>
      <c r="X1182" s="125"/>
      <c r="Y1182" s="125"/>
      <c r="Z1182" s="125"/>
    </row>
    <row r="1183">
      <c r="A1183" s="329"/>
      <c r="B1183" s="119"/>
      <c r="C1183" s="121"/>
      <c r="D1183" s="121"/>
      <c r="E1183" s="221"/>
      <c r="F1183" s="123">
        <f t="shared" si="1"/>
        <v>1</v>
      </c>
      <c r="G1183" s="121"/>
      <c r="H1183" s="12"/>
      <c r="I1183" s="192"/>
      <c r="J1183" s="192"/>
      <c r="K1183" s="192"/>
      <c r="L1183" s="121"/>
      <c r="M1183" s="125"/>
      <c r="N1183" s="221"/>
      <c r="O1183" s="122" t="s">
        <v>8245</v>
      </c>
      <c r="P1183" s="221"/>
      <c r="Q1183" s="221"/>
      <c r="R1183" s="223"/>
      <c r="S1183" s="223"/>
      <c r="T1183" s="125"/>
      <c r="U1183" s="125"/>
      <c r="V1183" s="125"/>
      <c r="W1183" s="125"/>
      <c r="X1183" s="125"/>
      <c r="Y1183" s="125"/>
      <c r="Z1183" s="125"/>
    </row>
    <row r="1184">
      <c r="A1184" s="329"/>
      <c r="B1184" s="119"/>
      <c r="C1184" s="121"/>
      <c r="D1184" s="121"/>
      <c r="E1184" s="221"/>
      <c r="F1184" s="123">
        <f t="shared" si="1"/>
        <v>1</v>
      </c>
      <c r="G1184" s="121"/>
      <c r="H1184" s="12"/>
      <c r="I1184" s="192"/>
      <c r="J1184" s="192"/>
      <c r="K1184" s="192"/>
      <c r="L1184" s="121"/>
      <c r="M1184" s="125"/>
      <c r="N1184" s="221"/>
      <c r="O1184" s="122" t="s">
        <v>8246</v>
      </c>
      <c r="P1184" s="221"/>
      <c r="Q1184" s="221"/>
      <c r="R1184" s="223"/>
      <c r="S1184" s="223"/>
      <c r="T1184" s="125"/>
      <c r="U1184" s="125"/>
      <c r="V1184" s="125"/>
      <c r="W1184" s="125"/>
      <c r="X1184" s="125"/>
      <c r="Y1184" s="125"/>
      <c r="Z1184" s="125"/>
    </row>
    <row r="1185">
      <c r="A1185" s="329"/>
      <c r="B1185" s="119"/>
      <c r="C1185" s="121"/>
      <c r="D1185" s="121"/>
      <c r="E1185" s="221"/>
      <c r="F1185" s="123">
        <f t="shared" si="1"/>
        <v>1</v>
      </c>
      <c r="G1185" s="121"/>
      <c r="H1185" s="12"/>
      <c r="I1185" s="192"/>
      <c r="J1185" s="192"/>
      <c r="K1185" s="192"/>
      <c r="L1185" s="121"/>
      <c r="M1185" s="125"/>
      <c r="N1185" s="221"/>
      <c r="O1185" s="122" t="s">
        <v>8247</v>
      </c>
      <c r="P1185" s="221"/>
      <c r="Q1185" s="221"/>
      <c r="R1185" s="223"/>
      <c r="S1185" s="223"/>
      <c r="T1185" s="125"/>
      <c r="U1185" s="125"/>
      <c r="V1185" s="125"/>
      <c r="W1185" s="125"/>
      <c r="X1185" s="125"/>
      <c r="Y1185" s="125"/>
      <c r="Z1185" s="125"/>
    </row>
    <row r="1186">
      <c r="A1186" s="329"/>
      <c r="B1186" s="119"/>
      <c r="C1186" s="121"/>
      <c r="D1186" s="121"/>
      <c r="E1186" s="221"/>
      <c r="F1186" s="123">
        <f t="shared" si="1"/>
        <v>1</v>
      </c>
      <c r="G1186" s="121"/>
      <c r="H1186" s="12"/>
      <c r="I1186" s="192"/>
      <c r="J1186" s="192"/>
      <c r="K1186" s="192"/>
      <c r="L1186" s="121"/>
      <c r="M1186" s="125"/>
      <c r="N1186" s="221"/>
      <c r="O1186" s="122" t="s">
        <v>8248</v>
      </c>
      <c r="P1186" s="221"/>
      <c r="Q1186" s="221"/>
      <c r="R1186" s="223"/>
      <c r="S1186" s="223"/>
      <c r="T1186" s="125"/>
      <c r="U1186" s="125"/>
      <c r="V1186" s="125"/>
      <c r="W1186" s="125"/>
      <c r="X1186" s="125"/>
      <c r="Y1186" s="125"/>
      <c r="Z1186" s="125"/>
    </row>
    <row r="1187">
      <c r="A1187" s="329"/>
      <c r="B1187" s="119"/>
      <c r="C1187" s="121"/>
      <c r="D1187" s="121"/>
      <c r="E1187" s="221"/>
      <c r="F1187" s="123">
        <f t="shared" si="1"/>
        <v>1</v>
      </c>
      <c r="G1187" s="121"/>
      <c r="H1187" s="12"/>
      <c r="I1187" s="192"/>
      <c r="J1187" s="192"/>
      <c r="K1187" s="192"/>
      <c r="L1187" s="121"/>
      <c r="M1187" s="125"/>
      <c r="N1187" s="221"/>
      <c r="O1187" s="122" t="s">
        <v>8249</v>
      </c>
      <c r="P1187" s="221"/>
      <c r="Q1187" s="221"/>
      <c r="R1187" s="223"/>
      <c r="S1187" s="223"/>
      <c r="T1187" s="125"/>
      <c r="U1187" s="125"/>
      <c r="V1187" s="125"/>
      <c r="W1187" s="125"/>
      <c r="X1187" s="125"/>
      <c r="Y1187" s="125"/>
      <c r="Z1187" s="125"/>
    </row>
    <row r="1188">
      <c r="A1188" s="329"/>
      <c r="B1188" s="119"/>
      <c r="C1188" s="121"/>
      <c r="D1188" s="121"/>
      <c r="E1188" s="221"/>
      <c r="F1188" s="123">
        <f t="shared" si="1"/>
        <v>1</v>
      </c>
      <c r="G1188" s="121"/>
      <c r="H1188" s="12"/>
      <c r="I1188" s="192"/>
      <c r="J1188" s="192"/>
      <c r="K1188" s="192"/>
      <c r="L1188" s="121"/>
      <c r="M1188" s="125"/>
      <c r="N1188" s="221"/>
      <c r="O1188" s="122" t="s">
        <v>8250</v>
      </c>
      <c r="P1188" s="221"/>
      <c r="Q1188" s="221"/>
      <c r="R1188" s="223"/>
      <c r="S1188" s="223"/>
      <c r="T1188" s="125"/>
      <c r="U1188" s="125"/>
      <c r="V1188" s="125"/>
      <c r="W1188" s="125"/>
      <c r="X1188" s="125"/>
      <c r="Y1188" s="125"/>
      <c r="Z1188" s="125"/>
    </row>
    <row r="1189">
      <c r="A1189" s="329"/>
      <c r="B1189" s="119"/>
      <c r="C1189" s="121"/>
      <c r="D1189" s="121"/>
      <c r="E1189" s="221"/>
      <c r="F1189" s="123">
        <f t="shared" si="1"/>
        <v>1</v>
      </c>
      <c r="G1189" s="121"/>
      <c r="H1189" s="12"/>
      <c r="I1189" s="192"/>
      <c r="J1189" s="192"/>
      <c r="K1189" s="192"/>
      <c r="L1189" s="121"/>
      <c r="M1189" s="125"/>
      <c r="N1189" s="221"/>
      <c r="O1189" s="122" t="s">
        <v>8251</v>
      </c>
      <c r="P1189" s="221"/>
      <c r="Q1189" s="221"/>
      <c r="R1189" s="223"/>
      <c r="S1189" s="223"/>
      <c r="T1189" s="125"/>
      <c r="U1189" s="125"/>
      <c r="V1189" s="125"/>
      <c r="W1189" s="125"/>
      <c r="X1189" s="125"/>
      <c r="Y1189" s="125"/>
      <c r="Z1189" s="125"/>
    </row>
    <row r="1190">
      <c r="A1190" s="329"/>
      <c r="B1190" s="119"/>
      <c r="C1190" s="121"/>
      <c r="D1190" s="121"/>
      <c r="E1190" s="221"/>
      <c r="F1190" s="123">
        <f t="shared" si="1"/>
        <v>1</v>
      </c>
      <c r="G1190" s="121"/>
      <c r="H1190" s="12"/>
      <c r="I1190" s="192"/>
      <c r="J1190" s="192"/>
      <c r="K1190" s="192"/>
      <c r="L1190" s="121"/>
      <c r="M1190" s="125"/>
      <c r="N1190" s="221"/>
      <c r="O1190" s="122" t="s">
        <v>8252</v>
      </c>
      <c r="P1190" s="221"/>
      <c r="Q1190" s="221"/>
      <c r="R1190" s="223"/>
      <c r="S1190" s="223"/>
      <c r="T1190" s="125"/>
      <c r="U1190" s="125"/>
      <c r="V1190" s="125"/>
      <c r="W1190" s="125"/>
      <c r="X1190" s="125"/>
      <c r="Y1190" s="125"/>
      <c r="Z1190" s="125"/>
    </row>
    <row r="1191">
      <c r="A1191" s="329"/>
      <c r="B1191" s="119"/>
      <c r="C1191" s="121"/>
      <c r="D1191" s="121"/>
      <c r="E1191" s="221"/>
      <c r="F1191" s="123">
        <f t="shared" si="1"/>
        <v>1</v>
      </c>
      <c r="G1191" s="121"/>
      <c r="H1191" s="12"/>
      <c r="I1191" s="192"/>
      <c r="J1191" s="192"/>
      <c r="K1191" s="192"/>
      <c r="L1191" s="121"/>
      <c r="M1191" s="125"/>
      <c r="N1191" s="221"/>
      <c r="O1191" s="122" t="s">
        <v>8253</v>
      </c>
      <c r="P1191" s="221"/>
      <c r="Q1191" s="221"/>
      <c r="R1191" s="223"/>
      <c r="S1191" s="223"/>
      <c r="T1191" s="125"/>
      <c r="U1191" s="125"/>
      <c r="V1191" s="125"/>
      <c r="W1191" s="125"/>
      <c r="X1191" s="125"/>
      <c r="Y1191" s="125"/>
      <c r="Z1191" s="125"/>
    </row>
    <row r="1192">
      <c r="A1192" s="329"/>
      <c r="B1192" s="119"/>
      <c r="C1192" s="121"/>
      <c r="D1192" s="121"/>
      <c r="E1192" s="221"/>
      <c r="F1192" s="123">
        <f t="shared" si="1"/>
        <v>1</v>
      </c>
      <c r="G1192" s="121"/>
      <c r="H1192" s="12"/>
      <c r="I1192" s="192"/>
      <c r="J1192" s="192"/>
      <c r="K1192" s="192"/>
      <c r="L1192" s="121"/>
      <c r="M1192" s="125"/>
      <c r="N1192" s="221"/>
      <c r="O1192" s="122" t="s">
        <v>8254</v>
      </c>
      <c r="P1192" s="221"/>
      <c r="Q1192" s="221"/>
      <c r="R1192" s="223"/>
      <c r="S1192" s="223"/>
      <c r="T1192" s="125"/>
      <c r="U1192" s="125"/>
      <c r="V1192" s="125"/>
      <c r="W1192" s="125"/>
      <c r="X1192" s="125"/>
      <c r="Y1192" s="125"/>
      <c r="Z1192" s="125"/>
    </row>
    <row r="1193">
      <c r="A1193" s="329"/>
      <c r="B1193" s="119"/>
      <c r="C1193" s="121"/>
      <c r="D1193" s="121"/>
      <c r="E1193" s="221"/>
      <c r="F1193" s="123">
        <f t="shared" si="1"/>
        <v>1</v>
      </c>
      <c r="G1193" s="121"/>
      <c r="H1193" s="12"/>
      <c r="I1193" s="192"/>
      <c r="J1193" s="192"/>
      <c r="K1193" s="192"/>
      <c r="L1193" s="121"/>
      <c r="M1193" s="125"/>
      <c r="N1193" s="221"/>
      <c r="O1193" s="122" t="s">
        <v>8255</v>
      </c>
      <c r="P1193" s="221"/>
      <c r="Q1193" s="221"/>
      <c r="R1193" s="223"/>
      <c r="S1193" s="223"/>
      <c r="T1193" s="125"/>
      <c r="U1193" s="125"/>
      <c r="V1193" s="125"/>
      <c r="W1193" s="125"/>
      <c r="X1193" s="125"/>
      <c r="Y1193" s="125"/>
      <c r="Z1193" s="125"/>
    </row>
    <row r="1194">
      <c r="A1194" s="329"/>
      <c r="B1194" s="119"/>
      <c r="C1194" s="121"/>
      <c r="D1194" s="121"/>
      <c r="E1194" s="221"/>
      <c r="F1194" s="123">
        <f t="shared" si="1"/>
        <v>1</v>
      </c>
      <c r="G1194" s="121"/>
      <c r="H1194" s="12"/>
      <c r="I1194" s="192"/>
      <c r="J1194" s="192"/>
      <c r="K1194" s="192"/>
      <c r="L1194" s="121"/>
      <c r="M1194" s="125"/>
      <c r="N1194" s="221"/>
      <c r="O1194" s="122" t="s">
        <v>8256</v>
      </c>
      <c r="P1194" s="221"/>
      <c r="Q1194" s="221"/>
      <c r="R1194" s="223"/>
      <c r="S1194" s="223"/>
      <c r="T1194" s="125"/>
      <c r="U1194" s="125"/>
      <c r="V1194" s="125"/>
      <c r="W1194" s="125"/>
      <c r="X1194" s="125"/>
      <c r="Y1194" s="125"/>
      <c r="Z1194" s="125"/>
    </row>
    <row r="1195">
      <c r="A1195" s="329"/>
      <c r="B1195" s="119"/>
      <c r="C1195" s="121"/>
      <c r="D1195" s="121"/>
      <c r="E1195" s="221"/>
      <c r="F1195" s="123">
        <f t="shared" si="1"/>
        <v>1</v>
      </c>
      <c r="G1195" s="121"/>
      <c r="H1195" s="12"/>
      <c r="I1195" s="192"/>
      <c r="J1195" s="192"/>
      <c r="K1195" s="192"/>
      <c r="L1195" s="121"/>
      <c r="M1195" s="125"/>
      <c r="N1195" s="221"/>
      <c r="O1195" s="122" t="s">
        <v>8257</v>
      </c>
      <c r="P1195" s="221"/>
      <c r="Q1195" s="221"/>
      <c r="R1195" s="223"/>
      <c r="S1195" s="223"/>
      <c r="T1195" s="125"/>
      <c r="U1195" s="125"/>
      <c r="V1195" s="125"/>
      <c r="W1195" s="125"/>
      <c r="X1195" s="125"/>
      <c r="Y1195" s="125"/>
      <c r="Z1195" s="125"/>
    </row>
    <row r="1196">
      <c r="A1196" s="329"/>
      <c r="B1196" s="119"/>
      <c r="C1196" s="121"/>
      <c r="D1196" s="121"/>
      <c r="E1196" s="221"/>
      <c r="F1196" s="123">
        <f t="shared" si="1"/>
        <v>1</v>
      </c>
      <c r="G1196" s="121"/>
      <c r="H1196" s="12"/>
      <c r="I1196" s="192"/>
      <c r="J1196" s="192"/>
      <c r="K1196" s="192"/>
      <c r="L1196" s="121"/>
      <c r="M1196" s="125"/>
      <c r="N1196" s="221"/>
      <c r="O1196" s="122" t="s">
        <v>8258</v>
      </c>
      <c r="P1196" s="221"/>
      <c r="Q1196" s="221"/>
      <c r="R1196" s="223"/>
      <c r="S1196" s="223"/>
      <c r="T1196" s="125"/>
      <c r="U1196" s="125"/>
      <c r="V1196" s="125"/>
      <c r="W1196" s="125"/>
      <c r="X1196" s="125"/>
      <c r="Y1196" s="125"/>
      <c r="Z1196" s="125"/>
    </row>
    <row r="1197">
      <c r="A1197" s="329"/>
      <c r="B1197" s="119"/>
      <c r="C1197" s="121"/>
      <c r="D1197" s="121"/>
      <c r="E1197" s="221"/>
      <c r="F1197" s="123">
        <f t="shared" si="1"/>
        <v>1</v>
      </c>
      <c r="G1197" s="121"/>
      <c r="H1197" s="12"/>
      <c r="I1197" s="192"/>
      <c r="J1197" s="192"/>
      <c r="K1197" s="192"/>
      <c r="L1197" s="121"/>
      <c r="M1197" s="125"/>
      <c r="N1197" s="221"/>
      <c r="O1197" s="122" t="s">
        <v>8259</v>
      </c>
      <c r="P1197" s="221"/>
      <c r="Q1197" s="221"/>
      <c r="R1197" s="223"/>
      <c r="S1197" s="223"/>
      <c r="T1197" s="125"/>
      <c r="U1197" s="125"/>
      <c r="V1197" s="125"/>
      <c r="W1197" s="125"/>
      <c r="X1197" s="125"/>
      <c r="Y1197" s="125"/>
      <c r="Z1197" s="125"/>
    </row>
    <row r="1198">
      <c r="A1198" s="329"/>
      <c r="B1198" s="119"/>
      <c r="C1198" s="121"/>
      <c r="D1198" s="121"/>
      <c r="E1198" s="221"/>
      <c r="F1198" s="123">
        <f t="shared" si="1"/>
        <v>1</v>
      </c>
      <c r="G1198" s="121"/>
      <c r="H1198" s="12"/>
      <c r="I1198" s="192"/>
      <c r="J1198" s="192"/>
      <c r="K1198" s="192"/>
      <c r="L1198" s="121"/>
      <c r="M1198" s="125"/>
      <c r="N1198" s="221"/>
      <c r="O1198" s="122" t="s">
        <v>8260</v>
      </c>
      <c r="P1198" s="221"/>
      <c r="Q1198" s="221"/>
      <c r="R1198" s="223"/>
      <c r="S1198" s="223"/>
      <c r="T1198" s="125"/>
      <c r="U1198" s="125"/>
      <c r="V1198" s="125"/>
      <c r="W1198" s="125"/>
      <c r="X1198" s="125"/>
      <c r="Y1198" s="125"/>
      <c r="Z1198" s="125"/>
    </row>
    <row r="1199">
      <c r="A1199" s="329"/>
      <c r="B1199" s="119"/>
      <c r="C1199" s="121"/>
      <c r="D1199" s="121"/>
      <c r="E1199" s="221"/>
      <c r="F1199" s="123">
        <f t="shared" si="1"/>
        <v>1</v>
      </c>
      <c r="G1199" s="121"/>
      <c r="H1199" s="12"/>
      <c r="I1199" s="192"/>
      <c r="J1199" s="192"/>
      <c r="K1199" s="192"/>
      <c r="L1199" s="121"/>
      <c r="M1199" s="125"/>
      <c r="N1199" s="221"/>
      <c r="O1199" s="122" t="s">
        <v>8261</v>
      </c>
      <c r="P1199" s="221"/>
      <c r="Q1199" s="221"/>
      <c r="R1199" s="223"/>
      <c r="S1199" s="223"/>
      <c r="T1199" s="125"/>
      <c r="U1199" s="125"/>
      <c r="V1199" s="125"/>
      <c r="W1199" s="125"/>
      <c r="X1199" s="125"/>
      <c r="Y1199" s="125"/>
      <c r="Z1199" s="125"/>
    </row>
    <row r="1200">
      <c r="A1200" s="329"/>
      <c r="B1200" s="119"/>
      <c r="C1200" s="121"/>
      <c r="D1200" s="121"/>
      <c r="E1200" s="221"/>
      <c r="F1200" s="123">
        <f t="shared" si="1"/>
        <v>1</v>
      </c>
      <c r="G1200" s="121"/>
      <c r="H1200" s="12"/>
      <c r="I1200" s="192"/>
      <c r="J1200" s="192"/>
      <c r="K1200" s="192"/>
      <c r="L1200" s="121"/>
      <c r="M1200" s="125"/>
      <c r="N1200" s="221"/>
      <c r="O1200" s="122" t="s">
        <v>8262</v>
      </c>
      <c r="P1200" s="221"/>
      <c r="Q1200" s="221"/>
      <c r="R1200" s="223"/>
      <c r="S1200" s="223"/>
      <c r="T1200" s="125"/>
      <c r="U1200" s="125"/>
      <c r="V1200" s="125"/>
      <c r="W1200" s="125"/>
      <c r="X1200" s="125"/>
      <c r="Y1200" s="125"/>
      <c r="Z1200" s="125"/>
    </row>
    <row r="1201">
      <c r="A1201" s="329"/>
      <c r="B1201" s="119"/>
      <c r="C1201" s="121"/>
      <c r="D1201" s="121"/>
      <c r="E1201" s="221"/>
      <c r="F1201" s="123">
        <f t="shared" si="1"/>
        <v>1</v>
      </c>
      <c r="G1201" s="121"/>
      <c r="H1201" s="12"/>
      <c r="I1201" s="192"/>
      <c r="J1201" s="192"/>
      <c r="K1201" s="192"/>
      <c r="L1201" s="121"/>
      <c r="M1201" s="125"/>
      <c r="N1201" s="221"/>
      <c r="O1201" s="122" t="s">
        <v>8263</v>
      </c>
      <c r="P1201" s="221"/>
      <c r="Q1201" s="221"/>
      <c r="R1201" s="223"/>
      <c r="S1201" s="223"/>
      <c r="T1201" s="125"/>
      <c r="U1201" s="125"/>
      <c r="V1201" s="125"/>
      <c r="W1201" s="125"/>
      <c r="X1201" s="125"/>
      <c r="Y1201" s="125"/>
      <c r="Z1201" s="125"/>
    </row>
    <row r="1202">
      <c r="A1202" s="329"/>
      <c r="B1202" s="119"/>
      <c r="C1202" s="121"/>
      <c r="D1202" s="121"/>
      <c r="E1202" s="221"/>
      <c r="F1202" s="123">
        <f t="shared" si="1"/>
        <v>1</v>
      </c>
      <c r="G1202" s="121"/>
      <c r="H1202" s="12"/>
      <c r="I1202" s="192"/>
      <c r="J1202" s="192"/>
      <c r="K1202" s="192"/>
      <c r="L1202" s="121"/>
      <c r="M1202" s="125"/>
      <c r="N1202" s="221"/>
      <c r="O1202" s="122" t="s">
        <v>8264</v>
      </c>
      <c r="P1202" s="221"/>
      <c r="Q1202" s="221"/>
      <c r="R1202" s="223"/>
      <c r="S1202" s="223"/>
      <c r="T1202" s="125"/>
      <c r="U1202" s="125"/>
      <c r="V1202" s="125"/>
      <c r="W1202" s="125"/>
      <c r="X1202" s="125"/>
      <c r="Y1202" s="125"/>
      <c r="Z1202" s="125"/>
    </row>
    <row r="1203">
      <c r="A1203" s="329"/>
      <c r="B1203" s="119"/>
      <c r="C1203" s="121"/>
      <c r="D1203" s="121"/>
      <c r="E1203" s="221"/>
      <c r="F1203" s="123">
        <f t="shared" si="1"/>
        <v>1</v>
      </c>
      <c r="G1203" s="121"/>
      <c r="H1203" s="12"/>
      <c r="I1203" s="192"/>
      <c r="J1203" s="192"/>
      <c r="K1203" s="192"/>
      <c r="L1203" s="121"/>
      <c r="M1203" s="125"/>
      <c r="N1203" s="221"/>
      <c r="O1203" s="122" t="s">
        <v>8265</v>
      </c>
      <c r="P1203" s="221"/>
      <c r="Q1203" s="221"/>
      <c r="R1203" s="223"/>
      <c r="S1203" s="223"/>
      <c r="T1203" s="125"/>
      <c r="U1203" s="125"/>
      <c r="V1203" s="125"/>
      <c r="W1203" s="125"/>
      <c r="X1203" s="125"/>
      <c r="Y1203" s="125"/>
      <c r="Z1203" s="125"/>
    </row>
    <row r="1204">
      <c r="A1204" s="329"/>
      <c r="B1204" s="119"/>
      <c r="C1204" s="121"/>
      <c r="D1204" s="121"/>
      <c r="E1204" s="221"/>
      <c r="F1204" s="123">
        <f t="shared" si="1"/>
        <v>1</v>
      </c>
      <c r="G1204" s="121"/>
      <c r="H1204" s="12"/>
      <c r="I1204" s="192"/>
      <c r="J1204" s="192"/>
      <c r="K1204" s="192"/>
      <c r="L1204" s="121"/>
      <c r="M1204" s="125"/>
      <c r="N1204" s="221"/>
      <c r="O1204" s="122" t="s">
        <v>8266</v>
      </c>
      <c r="P1204" s="221"/>
      <c r="Q1204" s="221"/>
      <c r="R1204" s="223"/>
      <c r="S1204" s="223"/>
      <c r="T1204" s="125"/>
      <c r="U1204" s="125"/>
      <c r="V1204" s="125"/>
      <c r="W1204" s="125"/>
      <c r="X1204" s="125"/>
      <c r="Y1204" s="125"/>
      <c r="Z1204" s="125"/>
    </row>
    <row r="1205">
      <c r="A1205" s="329"/>
      <c r="B1205" s="119"/>
      <c r="C1205" s="121"/>
      <c r="D1205" s="121"/>
      <c r="E1205" s="221"/>
      <c r="F1205" s="123">
        <f t="shared" si="1"/>
        <v>1</v>
      </c>
      <c r="G1205" s="121"/>
      <c r="H1205" s="12"/>
      <c r="I1205" s="192"/>
      <c r="J1205" s="192"/>
      <c r="K1205" s="192"/>
      <c r="L1205" s="121"/>
      <c r="M1205" s="125"/>
      <c r="N1205" s="221"/>
      <c r="O1205" s="122" t="s">
        <v>8267</v>
      </c>
      <c r="P1205" s="221"/>
      <c r="Q1205" s="221"/>
      <c r="R1205" s="223"/>
      <c r="S1205" s="223"/>
      <c r="T1205" s="125"/>
      <c r="U1205" s="125"/>
      <c r="V1205" s="125"/>
      <c r="W1205" s="125"/>
      <c r="X1205" s="125"/>
      <c r="Y1205" s="125"/>
      <c r="Z1205" s="125"/>
    </row>
    <row r="1206">
      <c r="A1206" s="329"/>
      <c r="B1206" s="119"/>
      <c r="C1206" s="121"/>
      <c r="D1206" s="121"/>
      <c r="E1206" s="221"/>
      <c r="F1206" s="123">
        <f t="shared" si="1"/>
        <v>1</v>
      </c>
      <c r="G1206" s="121"/>
      <c r="H1206" s="12"/>
      <c r="I1206" s="192"/>
      <c r="J1206" s="192"/>
      <c r="K1206" s="192"/>
      <c r="L1206" s="121"/>
      <c r="M1206" s="125"/>
      <c r="N1206" s="221"/>
      <c r="O1206" s="122" t="s">
        <v>8268</v>
      </c>
      <c r="P1206" s="221"/>
      <c r="Q1206" s="221"/>
      <c r="R1206" s="223"/>
      <c r="S1206" s="223"/>
      <c r="T1206" s="125"/>
      <c r="U1206" s="125"/>
      <c r="V1206" s="125"/>
      <c r="W1206" s="125"/>
      <c r="X1206" s="125"/>
      <c r="Y1206" s="125"/>
      <c r="Z1206" s="125"/>
    </row>
    <row r="1207">
      <c r="A1207" s="329"/>
      <c r="B1207" s="119"/>
      <c r="C1207" s="121"/>
      <c r="D1207" s="121"/>
      <c r="E1207" s="221"/>
      <c r="F1207" s="123">
        <f t="shared" si="1"/>
        <v>1</v>
      </c>
      <c r="G1207" s="121"/>
      <c r="H1207" s="12"/>
      <c r="I1207" s="192"/>
      <c r="J1207" s="192"/>
      <c r="K1207" s="192"/>
      <c r="L1207" s="121"/>
      <c r="M1207" s="125"/>
      <c r="N1207" s="221"/>
      <c r="O1207" s="122" t="s">
        <v>8269</v>
      </c>
      <c r="P1207" s="221"/>
      <c r="Q1207" s="221"/>
      <c r="R1207" s="223"/>
      <c r="S1207" s="223"/>
      <c r="T1207" s="125"/>
      <c r="U1207" s="125"/>
      <c r="V1207" s="125"/>
      <c r="W1207" s="125"/>
      <c r="X1207" s="125"/>
      <c r="Y1207" s="125"/>
      <c r="Z1207" s="125"/>
    </row>
    <row r="1208">
      <c r="A1208" s="329"/>
      <c r="B1208" s="119"/>
      <c r="C1208" s="121"/>
      <c r="D1208" s="121"/>
      <c r="E1208" s="221"/>
      <c r="F1208" s="123">
        <f t="shared" si="1"/>
        <v>1</v>
      </c>
      <c r="G1208" s="121"/>
      <c r="H1208" s="12"/>
      <c r="I1208" s="192"/>
      <c r="J1208" s="192"/>
      <c r="K1208" s="192"/>
      <c r="L1208" s="121"/>
      <c r="M1208" s="125"/>
      <c r="N1208" s="221"/>
      <c r="O1208" s="122" t="s">
        <v>8270</v>
      </c>
      <c r="P1208" s="221"/>
      <c r="Q1208" s="221"/>
      <c r="R1208" s="223"/>
      <c r="S1208" s="223"/>
      <c r="T1208" s="125"/>
      <c r="U1208" s="125"/>
      <c r="V1208" s="125"/>
      <c r="W1208" s="125"/>
      <c r="X1208" s="125"/>
      <c r="Y1208" s="125"/>
      <c r="Z1208" s="125"/>
    </row>
    <row r="1209">
      <c r="A1209" s="329"/>
      <c r="B1209" s="119"/>
      <c r="C1209" s="121"/>
      <c r="D1209" s="121"/>
      <c r="E1209" s="221"/>
      <c r="F1209" s="123">
        <f t="shared" si="1"/>
        <v>1</v>
      </c>
      <c r="G1209" s="121"/>
      <c r="H1209" s="12"/>
      <c r="I1209" s="192"/>
      <c r="J1209" s="192"/>
      <c r="K1209" s="192"/>
      <c r="L1209" s="121"/>
      <c r="M1209" s="125"/>
      <c r="N1209" s="221"/>
      <c r="O1209" s="122" t="s">
        <v>8271</v>
      </c>
      <c r="P1209" s="221"/>
      <c r="Q1209" s="221"/>
      <c r="R1209" s="223"/>
      <c r="S1209" s="223"/>
      <c r="T1209" s="125"/>
      <c r="U1209" s="125"/>
      <c r="V1209" s="125"/>
      <c r="W1209" s="125"/>
      <c r="X1209" s="125"/>
      <c r="Y1209" s="125"/>
      <c r="Z1209" s="125"/>
    </row>
    <row r="1210">
      <c r="A1210" s="329"/>
      <c r="B1210" s="119"/>
      <c r="C1210" s="121"/>
      <c r="D1210" s="121"/>
      <c r="E1210" s="221"/>
      <c r="F1210" s="123">
        <f t="shared" si="1"/>
        <v>1</v>
      </c>
      <c r="G1210" s="121"/>
      <c r="H1210" s="12"/>
      <c r="I1210" s="192"/>
      <c r="J1210" s="192"/>
      <c r="K1210" s="192"/>
      <c r="L1210" s="121"/>
      <c r="M1210" s="125"/>
      <c r="N1210" s="221"/>
      <c r="O1210" s="122" t="s">
        <v>8272</v>
      </c>
      <c r="P1210" s="221"/>
      <c r="Q1210" s="221"/>
      <c r="R1210" s="223"/>
      <c r="S1210" s="223"/>
      <c r="T1210" s="125"/>
      <c r="U1210" s="125"/>
      <c r="V1210" s="125"/>
      <c r="W1210" s="125"/>
      <c r="X1210" s="125"/>
      <c r="Y1210" s="125"/>
      <c r="Z1210" s="125"/>
    </row>
    <row r="1211">
      <c r="A1211" s="329"/>
      <c r="B1211" s="119"/>
      <c r="C1211" s="121"/>
      <c r="D1211" s="121"/>
      <c r="E1211" s="221"/>
      <c r="F1211" s="123">
        <f t="shared" si="1"/>
        <v>1</v>
      </c>
      <c r="G1211" s="121"/>
      <c r="H1211" s="12"/>
      <c r="I1211" s="192"/>
      <c r="J1211" s="192"/>
      <c r="K1211" s="192"/>
      <c r="L1211" s="121"/>
      <c r="M1211" s="125"/>
      <c r="N1211" s="221"/>
      <c r="O1211" s="122" t="s">
        <v>8273</v>
      </c>
      <c r="P1211" s="221"/>
      <c r="Q1211" s="221"/>
      <c r="R1211" s="223"/>
      <c r="S1211" s="223"/>
      <c r="T1211" s="125"/>
      <c r="U1211" s="125"/>
      <c r="V1211" s="125"/>
      <c r="W1211" s="125"/>
      <c r="X1211" s="125"/>
      <c r="Y1211" s="125"/>
      <c r="Z1211" s="125"/>
    </row>
    <row r="1212">
      <c r="A1212" s="329"/>
      <c r="B1212" s="119"/>
      <c r="C1212" s="121"/>
      <c r="D1212" s="121"/>
      <c r="E1212" s="221"/>
      <c r="F1212" s="123">
        <f t="shared" si="1"/>
        <v>1</v>
      </c>
      <c r="G1212" s="121"/>
      <c r="H1212" s="12"/>
      <c r="I1212" s="192"/>
      <c r="J1212" s="192"/>
      <c r="K1212" s="192"/>
      <c r="L1212" s="121"/>
      <c r="M1212" s="125"/>
      <c r="N1212" s="221"/>
      <c r="O1212" s="122" t="s">
        <v>8274</v>
      </c>
      <c r="P1212" s="221"/>
      <c r="Q1212" s="221"/>
      <c r="R1212" s="223"/>
      <c r="S1212" s="223"/>
      <c r="T1212" s="125"/>
      <c r="U1212" s="125"/>
      <c r="V1212" s="125"/>
      <c r="W1212" s="125"/>
      <c r="X1212" s="125"/>
      <c r="Y1212" s="125"/>
      <c r="Z1212" s="125"/>
    </row>
    <row r="1213">
      <c r="A1213" s="329"/>
      <c r="B1213" s="119"/>
      <c r="C1213" s="121"/>
      <c r="D1213" s="121"/>
      <c r="E1213" s="221"/>
      <c r="F1213" s="123">
        <f t="shared" si="1"/>
        <v>1</v>
      </c>
      <c r="G1213" s="121"/>
      <c r="H1213" s="12"/>
      <c r="I1213" s="192"/>
      <c r="J1213" s="192"/>
      <c r="K1213" s="192"/>
      <c r="L1213" s="121"/>
      <c r="M1213" s="125"/>
      <c r="N1213" s="221"/>
      <c r="O1213" s="122" t="s">
        <v>8275</v>
      </c>
      <c r="P1213" s="221"/>
      <c r="Q1213" s="221"/>
      <c r="R1213" s="223"/>
      <c r="S1213" s="223"/>
      <c r="T1213" s="125"/>
      <c r="U1213" s="125"/>
      <c r="V1213" s="125"/>
      <c r="W1213" s="125"/>
      <c r="X1213" s="125"/>
      <c r="Y1213" s="125"/>
      <c r="Z1213" s="125"/>
    </row>
    <row r="1214">
      <c r="A1214" s="329"/>
      <c r="B1214" s="119"/>
      <c r="C1214" s="121"/>
      <c r="D1214" s="121"/>
      <c r="E1214" s="221"/>
      <c r="F1214" s="123">
        <f t="shared" si="1"/>
        <v>1</v>
      </c>
      <c r="G1214" s="121"/>
      <c r="H1214" s="12"/>
      <c r="I1214" s="192"/>
      <c r="J1214" s="192"/>
      <c r="K1214" s="192"/>
      <c r="L1214" s="121"/>
      <c r="M1214" s="125"/>
      <c r="N1214" s="221"/>
      <c r="O1214" s="122" t="s">
        <v>8276</v>
      </c>
      <c r="P1214" s="221"/>
      <c r="Q1214" s="221"/>
      <c r="R1214" s="223"/>
      <c r="S1214" s="223"/>
      <c r="T1214" s="125"/>
      <c r="U1214" s="125"/>
      <c r="V1214" s="125"/>
      <c r="W1214" s="125"/>
      <c r="X1214" s="125"/>
      <c r="Y1214" s="125"/>
      <c r="Z1214" s="125"/>
    </row>
    <row r="1215">
      <c r="A1215" s="329"/>
      <c r="B1215" s="119"/>
      <c r="C1215" s="121"/>
      <c r="D1215" s="121"/>
      <c r="E1215" s="221"/>
      <c r="F1215" s="123">
        <f t="shared" si="1"/>
        <v>1</v>
      </c>
      <c r="G1215" s="121"/>
      <c r="H1215" s="12"/>
      <c r="I1215" s="192"/>
      <c r="J1215" s="192"/>
      <c r="K1215" s="192"/>
      <c r="L1215" s="121"/>
      <c r="M1215" s="125"/>
      <c r="N1215" s="221"/>
      <c r="O1215" s="122" t="s">
        <v>8277</v>
      </c>
      <c r="P1215" s="221"/>
      <c r="Q1215" s="221"/>
      <c r="R1215" s="223"/>
      <c r="S1215" s="223"/>
      <c r="T1215" s="125"/>
      <c r="U1215" s="125"/>
      <c r="V1215" s="125"/>
      <c r="W1215" s="125"/>
      <c r="X1215" s="125"/>
      <c r="Y1215" s="125"/>
      <c r="Z1215" s="125"/>
    </row>
    <row r="1216">
      <c r="A1216" s="329"/>
      <c r="B1216" s="119"/>
      <c r="C1216" s="121"/>
      <c r="D1216" s="121"/>
      <c r="E1216" s="221"/>
      <c r="F1216" s="123">
        <f t="shared" si="1"/>
        <v>1</v>
      </c>
      <c r="G1216" s="121"/>
      <c r="H1216" s="12"/>
      <c r="I1216" s="192"/>
      <c r="J1216" s="192"/>
      <c r="K1216" s="192"/>
      <c r="L1216" s="121"/>
      <c r="M1216" s="125"/>
      <c r="N1216" s="221"/>
      <c r="O1216" s="122" t="s">
        <v>8278</v>
      </c>
      <c r="P1216" s="221"/>
      <c r="Q1216" s="221"/>
      <c r="R1216" s="223"/>
      <c r="S1216" s="223"/>
      <c r="T1216" s="125"/>
      <c r="U1216" s="125"/>
      <c r="V1216" s="125"/>
      <c r="W1216" s="125"/>
      <c r="X1216" s="125"/>
      <c r="Y1216" s="125"/>
      <c r="Z1216" s="125"/>
    </row>
    <row r="1217">
      <c r="A1217" s="329"/>
      <c r="B1217" s="119"/>
      <c r="C1217" s="121"/>
      <c r="D1217" s="121"/>
      <c r="E1217" s="221"/>
      <c r="F1217" s="123">
        <f t="shared" si="1"/>
        <v>1</v>
      </c>
      <c r="G1217" s="121"/>
      <c r="H1217" s="12"/>
      <c r="I1217" s="192"/>
      <c r="J1217" s="192"/>
      <c r="K1217" s="192"/>
      <c r="L1217" s="121"/>
      <c r="M1217" s="125"/>
      <c r="N1217" s="221"/>
      <c r="O1217" s="122" t="s">
        <v>8279</v>
      </c>
      <c r="P1217" s="221"/>
      <c r="Q1217" s="221"/>
      <c r="R1217" s="223"/>
      <c r="S1217" s="223"/>
      <c r="T1217" s="125"/>
      <c r="U1217" s="125"/>
      <c r="V1217" s="125"/>
      <c r="W1217" s="125"/>
      <c r="X1217" s="125"/>
      <c r="Y1217" s="125"/>
      <c r="Z1217" s="125"/>
    </row>
    <row r="1218">
      <c r="A1218" s="329"/>
      <c r="B1218" s="119"/>
      <c r="C1218" s="121"/>
      <c r="D1218" s="121"/>
      <c r="E1218" s="221"/>
      <c r="F1218" s="123">
        <f t="shared" si="1"/>
        <v>1</v>
      </c>
      <c r="G1218" s="121"/>
      <c r="H1218" s="12"/>
      <c r="I1218" s="192"/>
      <c r="J1218" s="192"/>
      <c r="K1218" s="192"/>
      <c r="L1218" s="121"/>
      <c r="M1218" s="125"/>
      <c r="N1218" s="221"/>
      <c r="O1218" s="122" t="s">
        <v>8280</v>
      </c>
      <c r="P1218" s="221"/>
      <c r="Q1218" s="221"/>
      <c r="R1218" s="223"/>
      <c r="S1218" s="223"/>
      <c r="T1218" s="125"/>
      <c r="U1218" s="125"/>
      <c r="V1218" s="125"/>
      <c r="W1218" s="125"/>
      <c r="X1218" s="125"/>
      <c r="Y1218" s="125"/>
      <c r="Z1218" s="125"/>
    </row>
    <row r="1219">
      <c r="A1219" s="329"/>
      <c r="B1219" s="119"/>
      <c r="C1219" s="121"/>
      <c r="D1219" s="121"/>
      <c r="E1219" s="221"/>
      <c r="F1219" s="123">
        <f t="shared" si="1"/>
        <v>1</v>
      </c>
      <c r="G1219" s="121"/>
      <c r="H1219" s="12"/>
      <c r="I1219" s="192"/>
      <c r="J1219" s="192"/>
      <c r="K1219" s="192"/>
      <c r="L1219" s="121"/>
      <c r="M1219" s="125"/>
      <c r="N1219" s="221"/>
      <c r="O1219" s="122" t="s">
        <v>8281</v>
      </c>
      <c r="P1219" s="221"/>
      <c r="Q1219" s="221"/>
      <c r="R1219" s="223"/>
      <c r="S1219" s="223"/>
      <c r="T1219" s="125"/>
      <c r="U1219" s="125"/>
      <c r="V1219" s="125"/>
      <c r="W1219" s="125"/>
      <c r="X1219" s="125"/>
      <c r="Y1219" s="125"/>
      <c r="Z1219" s="125"/>
    </row>
    <row r="1220">
      <c r="A1220" s="329"/>
      <c r="B1220" s="119"/>
      <c r="C1220" s="121"/>
      <c r="D1220" s="121"/>
      <c r="E1220" s="221"/>
      <c r="F1220" s="123">
        <f t="shared" si="1"/>
        <v>1</v>
      </c>
      <c r="G1220" s="121"/>
      <c r="H1220" s="12"/>
      <c r="I1220" s="192"/>
      <c r="J1220" s="192"/>
      <c r="K1220" s="192"/>
      <c r="L1220" s="121"/>
      <c r="M1220" s="125"/>
      <c r="N1220" s="221"/>
      <c r="O1220" s="122" t="s">
        <v>8282</v>
      </c>
      <c r="P1220" s="221"/>
      <c r="Q1220" s="221"/>
      <c r="R1220" s="223"/>
      <c r="S1220" s="223"/>
      <c r="T1220" s="125"/>
      <c r="U1220" s="125"/>
      <c r="V1220" s="125"/>
      <c r="W1220" s="125"/>
      <c r="X1220" s="125"/>
      <c r="Y1220" s="125"/>
      <c r="Z1220" s="125"/>
    </row>
    <row r="1221">
      <c r="A1221" s="329"/>
      <c r="B1221" s="119"/>
      <c r="C1221" s="121"/>
      <c r="D1221" s="121"/>
      <c r="E1221" s="221"/>
      <c r="F1221" s="123">
        <f t="shared" si="1"/>
        <v>1</v>
      </c>
      <c r="G1221" s="121"/>
      <c r="H1221" s="12"/>
      <c r="I1221" s="192"/>
      <c r="J1221" s="192"/>
      <c r="K1221" s="192"/>
      <c r="L1221" s="121"/>
      <c r="M1221" s="125"/>
      <c r="N1221" s="221"/>
      <c r="O1221" s="122" t="s">
        <v>8283</v>
      </c>
      <c r="P1221" s="221"/>
      <c r="Q1221" s="221"/>
      <c r="R1221" s="223"/>
      <c r="S1221" s="223"/>
      <c r="T1221" s="125"/>
      <c r="U1221" s="125"/>
      <c r="V1221" s="125"/>
      <c r="W1221" s="125"/>
      <c r="X1221" s="125"/>
      <c r="Y1221" s="125"/>
      <c r="Z1221" s="125"/>
    </row>
    <row r="1222">
      <c r="A1222" s="329"/>
      <c r="B1222" s="119"/>
      <c r="C1222" s="121"/>
      <c r="D1222" s="121"/>
      <c r="E1222" s="221"/>
      <c r="F1222" s="123">
        <f t="shared" si="1"/>
        <v>1</v>
      </c>
      <c r="G1222" s="121"/>
      <c r="H1222" s="12"/>
      <c r="I1222" s="192"/>
      <c r="J1222" s="192"/>
      <c r="K1222" s="192"/>
      <c r="L1222" s="121"/>
      <c r="M1222" s="125"/>
      <c r="N1222" s="221"/>
      <c r="O1222" s="122" t="s">
        <v>8284</v>
      </c>
      <c r="P1222" s="221"/>
      <c r="Q1222" s="221"/>
      <c r="R1222" s="223"/>
      <c r="S1222" s="223"/>
      <c r="T1222" s="125"/>
      <c r="U1222" s="125"/>
      <c r="V1222" s="125"/>
      <c r="W1222" s="125"/>
      <c r="X1222" s="125"/>
      <c r="Y1222" s="125"/>
      <c r="Z1222" s="125"/>
    </row>
    <row r="1223">
      <c r="A1223" s="329"/>
      <c r="B1223" s="119"/>
      <c r="C1223" s="121"/>
      <c r="D1223" s="121"/>
      <c r="E1223" s="221"/>
      <c r="F1223" s="123">
        <f t="shared" si="1"/>
        <v>1</v>
      </c>
      <c r="G1223" s="121"/>
      <c r="H1223" s="12"/>
      <c r="I1223" s="192"/>
      <c r="J1223" s="192"/>
      <c r="K1223" s="192"/>
      <c r="L1223" s="121"/>
      <c r="M1223" s="125"/>
      <c r="N1223" s="221"/>
      <c r="O1223" s="122" t="s">
        <v>8285</v>
      </c>
      <c r="P1223" s="221"/>
      <c r="Q1223" s="221"/>
      <c r="R1223" s="223"/>
      <c r="S1223" s="223"/>
      <c r="T1223" s="125"/>
      <c r="U1223" s="125"/>
      <c r="V1223" s="125"/>
      <c r="W1223" s="125"/>
      <c r="X1223" s="125"/>
      <c r="Y1223" s="125"/>
      <c r="Z1223" s="125"/>
    </row>
    <row r="1224">
      <c r="A1224" s="329"/>
      <c r="B1224" s="119"/>
      <c r="C1224" s="121"/>
      <c r="D1224" s="121"/>
      <c r="E1224" s="221"/>
      <c r="F1224" s="123">
        <f t="shared" si="1"/>
        <v>1</v>
      </c>
      <c r="G1224" s="121"/>
      <c r="H1224" s="12"/>
      <c r="I1224" s="192"/>
      <c r="J1224" s="192"/>
      <c r="K1224" s="192"/>
      <c r="L1224" s="121"/>
      <c r="M1224" s="125"/>
      <c r="N1224" s="221"/>
      <c r="O1224" s="122" t="s">
        <v>8286</v>
      </c>
      <c r="P1224" s="221"/>
      <c r="Q1224" s="221"/>
      <c r="R1224" s="223"/>
      <c r="S1224" s="223"/>
      <c r="T1224" s="125"/>
      <c r="U1224" s="125"/>
      <c r="V1224" s="125"/>
      <c r="W1224" s="125"/>
      <c r="X1224" s="125"/>
      <c r="Y1224" s="125"/>
      <c r="Z1224" s="125"/>
    </row>
    <row r="1225">
      <c r="A1225" s="329"/>
      <c r="B1225" s="119"/>
      <c r="C1225" s="121"/>
      <c r="D1225" s="121"/>
      <c r="E1225" s="221"/>
      <c r="F1225" s="123">
        <f t="shared" si="1"/>
        <v>1</v>
      </c>
      <c r="G1225" s="121"/>
      <c r="H1225" s="12"/>
      <c r="I1225" s="192"/>
      <c r="J1225" s="192"/>
      <c r="K1225" s="192"/>
      <c r="L1225" s="121"/>
      <c r="M1225" s="125"/>
      <c r="N1225" s="221"/>
      <c r="O1225" s="122" t="s">
        <v>8287</v>
      </c>
      <c r="P1225" s="221"/>
      <c r="Q1225" s="221"/>
      <c r="R1225" s="223"/>
      <c r="S1225" s="223"/>
      <c r="T1225" s="125"/>
      <c r="U1225" s="125"/>
      <c r="V1225" s="125"/>
      <c r="W1225" s="125"/>
      <c r="X1225" s="125"/>
      <c r="Y1225" s="125"/>
      <c r="Z1225" s="125"/>
    </row>
    <row r="1226">
      <c r="A1226" s="329"/>
      <c r="B1226" s="119"/>
      <c r="C1226" s="121"/>
      <c r="D1226" s="121"/>
      <c r="E1226" s="221"/>
      <c r="F1226" s="123">
        <f t="shared" si="1"/>
        <v>1</v>
      </c>
      <c r="G1226" s="121"/>
      <c r="H1226" s="12"/>
      <c r="I1226" s="192"/>
      <c r="J1226" s="192"/>
      <c r="K1226" s="192"/>
      <c r="L1226" s="121"/>
      <c r="M1226" s="125"/>
      <c r="N1226" s="221"/>
      <c r="O1226" s="122" t="s">
        <v>8288</v>
      </c>
      <c r="P1226" s="221"/>
      <c r="Q1226" s="221"/>
      <c r="R1226" s="223"/>
      <c r="S1226" s="223"/>
      <c r="T1226" s="125"/>
      <c r="U1226" s="125"/>
      <c r="V1226" s="125"/>
      <c r="W1226" s="125"/>
      <c r="X1226" s="125"/>
      <c r="Y1226" s="125"/>
      <c r="Z1226" s="125"/>
    </row>
    <row r="1227">
      <c r="A1227" s="329"/>
      <c r="B1227" s="119"/>
      <c r="C1227" s="121"/>
      <c r="D1227" s="121"/>
      <c r="E1227" s="221"/>
      <c r="F1227" s="123">
        <f t="shared" si="1"/>
        <v>1</v>
      </c>
      <c r="G1227" s="121"/>
      <c r="H1227" s="12"/>
      <c r="I1227" s="192"/>
      <c r="J1227" s="192"/>
      <c r="K1227" s="192"/>
      <c r="L1227" s="121"/>
      <c r="M1227" s="125"/>
      <c r="N1227" s="221"/>
      <c r="O1227" s="122" t="s">
        <v>8289</v>
      </c>
      <c r="P1227" s="221"/>
      <c r="Q1227" s="221"/>
      <c r="R1227" s="223"/>
      <c r="S1227" s="223"/>
      <c r="T1227" s="125"/>
      <c r="U1227" s="125"/>
      <c r="V1227" s="125"/>
      <c r="W1227" s="125"/>
      <c r="X1227" s="125"/>
      <c r="Y1227" s="125"/>
      <c r="Z1227" s="125"/>
    </row>
    <row r="1228">
      <c r="A1228" s="329"/>
      <c r="B1228" s="119"/>
      <c r="C1228" s="121"/>
      <c r="D1228" s="121"/>
      <c r="E1228" s="221"/>
      <c r="F1228" s="123">
        <f t="shared" si="1"/>
        <v>1</v>
      </c>
      <c r="G1228" s="121"/>
      <c r="H1228" s="12"/>
      <c r="I1228" s="192"/>
      <c r="J1228" s="192"/>
      <c r="K1228" s="192"/>
      <c r="L1228" s="121"/>
      <c r="M1228" s="125"/>
      <c r="N1228" s="221"/>
      <c r="O1228" s="122" t="s">
        <v>8290</v>
      </c>
      <c r="P1228" s="221"/>
      <c r="Q1228" s="221"/>
      <c r="R1228" s="223"/>
      <c r="S1228" s="223"/>
      <c r="T1228" s="125"/>
      <c r="U1228" s="125"/>
      <c r="V1228" s="125"/>
      <c r="W1228" s="125"/>
      <c r="X1228" s="125"/>
      <c r="Y1228" s="125"/>
      <c r="Z1228" s="125"/>
    </row>
    <row r="1229">
      <c r="A1229" s="329"/>
      <c r="B1229" s="119"/>
      <c r="C1229" s="121"/>
      <c r="D1229" s="121"/>
      <c r="E1229" s="221"/>
      <c r="F1229" s="123">
        <f t="shared" si="1"/>
        <v>1</v>
      </c>
      <c r="G1229" s="121"/>
      <c r="H1229" s="12"/>
      <c r="I1229" s="192"/>
      <c r="J1229" s="192"/>
      <c r="K1229" s="192"/>
      <c r="L1229" s="121"/>
      <c r="M1229" s="125"/>
      <c r="N1229" s="221"/>
      <c r="O1229" s="122" t="s">
        <v>8291</v>
      </c>
      <c r="P1229" s="221"/>
      <c r="Q1229" s="221"/>
      <c r="R1229" s="223"/>
      <c r="S1229" s="223"/>
      <c r="T1229" s="125"/>
      <c r="U1229" s="125"/>
      <c r="V1229" s="125"/>
      <c r="W1229" s="125"/>
      <c r="X1229" s="125"/>
      <c r="Y1229" s="125"/>
      <c r="Z1229" s="125"/>
    </row>
    <row r="1230">
      <c r="A1230" s="329"/>
      <c r="B1230" s="119"/>
      <c r="C1230" s="121"/>
      <c r="D1230" s="121"/>
      <c r="E1230" s="221"/>
      <c r="F1230" s="123">
        <f t="shared" si="1"/>
        <v>1</v>
      </c>
      <c r="G1230" s="121"/>
      <c r="H1230" s="12"/>
      <c r="I1230" s="192"/>
      <c r="J1230" s="192"/>
      <c r="K1230" s="192"/>
      <c r="L1230" s="121"/>
      <c r="M1230" s="125"/>
      <c r="N1230" s="221"/>
      <c r="O1230" s="122" t="s">
        <v>8292</v>
      </c>
      <c r="P1230" s="221"/>
      <c r="Q1230" s="221"/>
      <c r="R1230" s="223"/>
      <c r="S1230" s="223"/>
      <c r="T1230" s="125"/>
      <c r="U1230" s="125"/>
      <c r="V1230" s="125"/>
      <c r="W1230" s="125"/>
      <c r="X1230" s="125"/>
      <c r="Y1230" s="125"/>
      <c r="Z1230" s="125"/>
    </row>
    <row r="1231">
      <c r="A1231" s="329"/>
      <c r="B1231" s="119"/>
      <c r="C1231" s="121"/>
      <c r="D1231" s="121"/>
      <c r="E1231" s="221"/>
      <c r="F1231" s="123">
        <f t="shared" si="1"/>
        <v>1</v>
      </c>
      <c r="G1231" s="121"/>
      <c r="H1231" s="12"/>
      <c r="I1231" s="192"/>
      <c r="J1231" s="192"/>
      <c r="K1231" s="192"/>
      <c r="L1231" s="121"/>
      <c r="M1231" s="125"/>
      <c r="N1231" s="221"/>
      <c r="O1231" s="122" t="s">
        <v>8293</v>
      </c>
      <c r="P1231" s="221"/>
      <c r="Q1231" s="221"/>
      <c r="R1231" s="223"/>
      <c r="S1231" s="223"/>
      <c r="T1231" s="125"/>
      <c r="U1231" s="125"/>
      <c r="V1231" s="125"/>
      <c r="W1231" s="125"/>
      <c r="X1231" s="125"/>
      <c r="Y1231" s="125"/>
      <c r="Z1231" s="125"/>
    </row>
    <row r="1232">
      <c r="A1232" s="329"/>
      <c r="B1232" s="119"/>
      <c r="C1232" s="121"/>
      <c r="D1232" s="121"/>
      <c r="E1232" s="221"/>
      <c r="F1232" s="123">
        <f t="shared" si="1"/>
        <v>1</v>
      </c>
      <c r="G1232" s="121"/>
      <c r="H1232" s="12"/>
      <c r="I1232" s="192"/>
      <c r="J1232" s="192"/>
      <c r="K1232" s="192"/>
      <c r="L1232" s="121"/>
      <c r="M1232" s="125"/>
      <c r="N1232" s="221"/>
      <c r="O1232" s="122" t="s">
        <v>8294</v>
      </c>
      <c r="P1232" s="221"/>
      <c r="Q1232" s="221"/>
      <c r="R1232" s="223"/>
      <c r="S1232" s="223"/>
      <c r="T1232" s="125"/>
      <c r="U1232" s="125"/>
      <c r="V1232" s="125"/>
      <c r="W1232" s="125"/>
      <c r="X1232" s="125"/>
      <c r="Y1232" s="125"/>
      <c r="Z1232" s="125"/>
    </row>
    <row r="1233">
      <c r="A1233" s="329"/>
      <c r="B1233" s="119"/>
      <c r="C1233" s="121"/>
      <c r="D1233" s="121"/>
      <c r="E1233" s="221"/>
      <c r="F1233" s="123">
        <f t="shared" si="1"/>
        <v>1</v>
      </c>
      <c r="G1233" s="121"/>
      <c r="H1233" s="12"/>
      <c r="I1233" s="192"/>
      <c r="J1233" s="192"/>
      <c r="K1233" s="192"/>
      <c r="L1233" s="121"/>
      <c r="M1233" s="125"/>
      <c r="N1233" s="221"/>
      <c r="O1233" s="122" t="s">
        <v>8295</v>
      </c>
      <c r="P1233" s="221"/>
      <c r="Q1233" s="221"/>
      <c r="R1233" s="223"/>
      <c r="S1233" s="223"/>
      <c r="T1233" s="125"/>
      <c r="U1233" s="125"/>
      <c r="V1233" s="125"/>
      <c r="W1233" s="125"/>
      <c r="X1233" s="125"/>
      <c r="Y1233" s="125"/>
      <c r="Z1233" s="125"/>
    </row>
    <row r="1234">
      <c r="A1234" s="329"/>
      <c r="B1234" s="119"/>
      <c r="C1234" s="121"/>
      <c r="D1234" s="121"/>
      <c r="E1234" s="221"/>
      <c r="F1234" s="123">
        <f t="shared" si="1"/>
        <v>1</v>
      </c>
      <c r="G1234" s="121"/>
      <c r="H1234" s="12"/>
      <c r="I1234" s="192"/>
      <c r="J1234" s="192"/>
      <c r="K1234" s="192"/>
      <c r="L1234" s="121"/>
      <c r="M1234" s="125"/>
      <c r="N1234" s="221"/>
      <c r="O1234" s="122" t="s">
        <v>8296</v>
      </c>
      <c r="P1234" s="221"/>
      <c r="Q1234" s="221"/>
      <c r="R1234" s="223"/>
      <c r="S1234" s="223"/>
      <c r="T1234" s="125"/>
      <c r="U1234" s="125"/>
      <c r="V1234" s="125"/>
      <c r="W1234" s="125"/>
      <c r="X1234" s="125"/>
      <c r="Y1234" s="125"/>
      <c r="Z1234" s="125"/>
    </row>
    <row r="1235">
      <c r="A1235" s="329"/>
      <c r="B1235" s="119"/>
      <c r="C1235" s="121"/>
      <c r="D1235" s="121"/>
      <c r="E1235" s="221"/>
      <c r="F1235" s="123">
        <f t="shared" si="1"/>
        <v>1</v>
      </c>
      <c r="G1235" s="121"/>
      <c r="H1235" s="12"/>
      <c r="I1235" s="192"/>
      <c r="J1235" s="192"/>
      <c r="K1235" s="192"/>
      <c r="L1235" s="121"/>
      <c r="M1235" s="125"/>
      <c r="N1235" s="221"/>
      <c r="O1235" s="122" t="s">
        <v>8297</v>
      </c>
      <c r="P1235" s="221"/>
      <c r="Q1235" s="221"/>
      <c r="R1235" s="223"/>
      <c r="S1235" s="223"/>
      <c r="T1235" s="125"/>
      <c r="U1235" s="125"/>
      <c r="V1235" s="125"/>
      <c r="W1235" s="125"/>
      <c r="X1235" s="125"/>
      <c r="Y1235" s="125"/>
      <c r="Z1235" s="125"/>
    </row>
    <row r="1236">
      <c r="A1236" s="329"/>
      <c r="B1236" s="119"/>
      <c r="C1236" s="121"/>
      <c r="D1236" s="121"/>
      <c r="E1236" s="221"/>
      <c r="F1236" s="123">
        <f t="shared" si="1"/>
        <v>1</v>
      </c>
      <c r="G1236" s="121"/>
      <c r="H1236" s="12"/>
      <c r="I1236" s="192"/>
      <c r="J1236" s="192"/>
      <c r="K1236" s="192"/>
      <c r="L1236" s="121"/>
      <c r="M1236" s="125"/>
      <c r="N1236" s="221"/>
      <c r="O1236" s="122" t="s">
        <v>8298</v>
      </c>
      <c r="P1236" s="221"/>
      <c r="Q1236" s="221"/>
      <c r="R1236" s="223"/>
      <c r="S1236" s="223"/>
      <c r="T1236" s="125"/>
      <c r="U1236" s="125"/>
      <c r="V1236" s="125"/>
      <c r="W1236" s="125"/>
      <c r="X1236" s="125"/>
      <c r="Y1236" s="125"/>
      <c r="Z1236" s="125"/>
    </row>
    <row r="1237">
      <c r="A1237" s="329"/>
      <c r="B1237" s="119"/>
      <c r="C1237" s="121"/>
      <c r="D1237" s="121"/>
      <c r="E1237" s="221"/>
      <c r="F1237" s="123">
        <f t="shared" si="1"/>
        <v>1</v>
      </c>
      <c r="G1237" s="121"/>
      <c r="H1237" s="12"/>
      <c r="I1237" s="192"/>
      <c r="J1237" s="192"/>
      <c r="K1237" s="192"/>
      <c r="L1237" s="121"/>
      <c r="M1237" s="125"/>
      <c r="N1237" s="221"/>
      <c r="O1237" s="122" t="s">
        <v>8299</v>
      </c>
      <c r="P1237" s="221"/>
      <c r="Q1237" s="221"/>
      <c r="R1237" s="223"/>
      <c r="S1237" s="223"/>
      <c r="T1237" s="125"/>
      <c r="U1237" s="125"/>
      <c r="V1237" s="125"/>
      <c r="W1237" s="125"/>
      <c r="X1237" s="125"/>
      <c r="Y1237" s="125"/>
      <c r="Z1237" s="125"/>
    </row>
    <row r="1238">
      <c r="A1238" s="329"/>
      <c r="B1238" s="119"/>
      <c r="C1238" s="121"/>
      <c r="D1238" s="121"/>
      <c r="E1238" s="221"/>
      <c r="F1238" s="123">
        <f t="shared" si="1"/>
        <v>1</v>
      </c>
      <c r="G1238" s="121"/>
      <c r="H1238" s="12"/>
      <c r="I1238" s="192"/>
      <c r="J1238" s="192"/>
      <c r="K1238" s="192"/>
      <c r="L1238" s="121"/>
      <c r="M1238" s="125"/>
      <c r="N1238" s="221"/>
      <c r="O1238" s="122" t="s">
        <v>8300</v>
      </c>
      <c r="P1238" s="221"/>
      <c r="Q1238" s="221"/>
      <c r="R1238" s="223"/>
      <c r="S1238" s="223"/>
      <c r="T1238" s="125"/>
      <c r="U1238" s="125"/>
      <c r="V1238" s="125"/>
      <c r="W1238" s="125"/>
      <c r="X1238" s="125"/>
      <c r="Y1238" s="125"/>
      <c r="Z1238" s="125"/>
    </row>
    <row r="1239">
      <c r="A1239" s="329"/>
      <c r="B1239" s="119"/>
      <c r="C1239" s="121"/>
      <c r="D1239" s="121"/>
      <c r="E1239" s="221"/>
      <c r="F1239" s="123">
        <f t="shared" si="1"/>
        <v>1</v>
      </c>
      <c r="G1239" s="121"/>
      <c r="H1239" s="12"/>
      <c r="I1239" s="192"/>
      <c r="J1239" s="192"/>
      <c r="K1239" s="192"/>
      <c r="L1239" s="121"/>
      <c r="M1239" s="125"/>
      <c r="N1239" s="221"/>
      <c r="O1239" s="122" t="s">
        <v>8301</v>
      </c>
      <c r="P1239" s="221"/>
      <c r="Q1239" s="221"/>
      <c r="R1239" s="223"/>
      <c r="S1239" s="223"/>
      <c r="T1239" s="125"/>
      <c r="U1239" s="125"/>
      <c r="V1239" s="125"/>
      <c r="W1239" s="125"/>
      <c r="X1239" s="125"/>
      <c r="Y1239" s="125"/>
      <c r="Z1239" s="125"/>
    </row>
    <row r="1240">
      <c r="A1240" s="329"/>
      <c r="B1240" s="119"/>
      <c r="C1240" s="121"/>
      <c r="D1240" s="121"/>
      <c r="E1240" s="221"/>
      <c r="F1240" s="123">
        <f t="shared" si="1"/>
        <v>1</v>
      </c>
      <c r="G1240" s="121"/>
      <c r="H1240" s="12"/>
      <c r="I1240" s="192"/>
      <c r="J1240" s="192"/>
      <c r="K1240" s="192"/>
      <c r="L1240" s="121"/>
      <c r="M1240" s="125"/>
      <c r="N1240" s="221"/>
      <c r="O1240" s="122" t="s">
        <v>8302</v>
      </c>
      <c r="P1240" s="221"/>
      <c r="Q1240" s="221"/>
      <c r="R1240" s="223"/>
      <c r="S1240" s="223"/>
      <c r="T1240" s="125"/>
      <c r="U1240" s="125"/>
      <c r="V1240" s="125"/>
      <c r="W1240" s="125"/>
      <c r="X1240" s="125"/>
      <c r="Y1240" s="125"/>
      <c r="Z1240" s="125"/>
    </row>
    <row r="1241">
      <c r="A1241" s="329"/>
      <c r="B1241" s="119"/>
      <c r="C1241" s="121"/>
      <c r="D1241" s="121"/>
      <c r="E1241" s="221"/>
      <c r="F1241" s="123">
        <f t="shared" si="1"/>
        <v>1</v>
      </c>
      <c r="G1241" s="121"/>
      <c r="H1241" s="12"/>
      <c r="I1241" s="192"/>
      <c r="J1241" s="192"/>
      <c r="K1241" s="192"/>
      <c r="L1241" s="121"/>
      <c r="M1241" s="125"/>
      <c r="N1241" s="221"/>
      <c r="O1241" s="122" t="s">
        <v>8303</v>
      </c>
      <c r="P1241" s="221"/>
      <c r="Q1241" s="221"/>
      <c r="R1241" s="223"/>
      <c r="S1241" s="223"/>
      <c r="T1241" s="125"/>
      <c r="U1241" s="125"/>
      <c r="V1241" s="125"/>
      <c r="W1241" s="125"/>
      <c r="X1241" s="125"/>
      <c r="Y1241" s="125"/>
      <c r="Z1241" s="125"/>
    </row>
    <row r="1242">
      <c r="A1242" s="329"/>
      <c r="B1242" s="119"/>
      <c r="C1242" s="121"/>
      <c r="D1242" s="121"/>
      <c r="E1242" s="221"/>
      <c r="F1242" s="123">
        <f t="shared" si="1"/>
        <v>1</v>
      </c>
      <c r="G1242" s="121"/>
      <c r="H1242" s="12"/>
      <c r="I1242" s="192"/>
      <c r="J1242" s="192"/>
      <c r="K1242" s="192"/>
      <c r="L1242" s="121"/>
      <c r="M1242" s="125"/>
      <c r="N1242" s="221"/>
      <c r="O1242" s="122" t="s">
        <v>8304</v>
      </c>
      <c r="P1242" s="221"/>
      <c r="Q1242" s="221"/>
      <c r="R1242" s="223"/>
      <c r="S1242" s="223"/>
      <c r="T1242" s="125"/>
      <c r="U1242" s="125"/>
      <c r="V1242" s="125"/>
      <c r="W1242" s="125"/>
      <c r="X1242" s="125"/>
      <c r="Y1242" s="125"/>
      <c r="Z1242" s="125"/>
    </row>
    <row r="1243">
      <c r="A1243" s="329"/>
      <c r="B1243" s="119"/>
      <c r="C1243" s="121"/>
      <c r="D1243" s="121"/>
      <c r="E1243" s="221"/>
      <c r="F1243" s="123">
        <f t="shared" si="1"/>
        <v>1</v>
      </c>
      <c r="G1243" s="121"/>
      <c r="H1243" s="12"/>
      <c r="I1243" s="192"/>
      <c r="J1243" s="192"/>
      <c r="K1243" s="192"/>
      <c r="L1243" s="121"/>
      <c r="M1243" s="125"/>
      <c r="N1243" s="221"/>
      <c r="O1243" s="122" t="s">
        <v>8305</v>
      </c>
      <c r="P1243" s="221"/>
      <c r="Q1243" s="221"/>
      <c r="R1243" s="223"/>
      <c r="S1243" s="223"/>
      <c r="T1243" s="125"/>
      <c r="U1243" s="125"/>
      <c r="V1243" s="125"/>
      <c r="W1243" s="125"/>
      <c r="X1243" s="125"/>
      <c r="Y1243" s="125"/>
      <c r="Z1243" s="125"/>
    </row>
    <row r="1244">
      <c r="A1244" s="329"/>
      <c r="B1244" s="119"/>
      <c r="C1244" s="121"/>
      <c r="D1244" s="121"/>
      <c r="E1244" s="221"/>
      <c r="F1244" s="123">
        <f t="shared" si="1"/>
        <v>1</v>
      </c>
      <c r="G1244" s="121"/>
      <c r="H1244" s="12"/>
      <c r="I1244" s="192"/>
      <c r="J1244" s="192"/>
      <c r="K1244" s="192"/>
      <c r="L1244" s="121"/>
      <c r="M1244" s="125"/>
      <c r="N1244" s="221"/>
      <c r="O1244" s="122" t="s">
        <v>8306</v>
      </c>
      <c r="P1244" s="221"/>
      <c r="Q1244" s="221"/>
      <c r="R1244" s="223"/>
      <c r="S1244" s="223"/>
      <c r="T1244" s="125"/>
      <c r="U1244" s="125"/>
      <c r="V1244" s="125"/>
      <c r="W1244" s="125"/>
      <c r="X1244" s="125"/>
      <c r="Y1244" s="125"/>
      <c r="Z1244" s="125"/>
    </row>
    <row r="1245">
      <c r="A1245" s="329"/>
      <c r="B1245" s="119"/>
      <c r="C1245" s="121"/>
      <c r="D1245" s="121"/>
      <c r="E1245" s="221"/>
      <c r="F1245" s="123">
        <f t="shared" si="1"/>
        <v>1</v>
      </c>
      <c r="G1245" s="121"/>
      <c r="H1245" s="12"/>
      <c r="I1245" s="192"/>
      <c r="J1245" s="192"/>
      <c r="K1245" s="192"/>
      <c r="L1245" s="121"/>
      <c r="M1245" s="125"/>
      <c r="N1245" s="221"/>
      <c r="O1245" s="122" t="s">
        <v>8307</v>
      </c>
      <c r="P1245" s="221"/>
      <c r="Q1245" s="221"/>
      <c r="R1245" s="223"/>
      <c r="S1245" s="223"/>
      <c r="T1245" s="125"/>
      <c r="U1245" s="125"/>
      <c r="V1245" s="125"/>
      <c r="W1245" s="125"/>
      <c r="X1245" s="125"/>
      <c r="Y1245" s="125"/>
      <c r="Z1245" s="125"/>
    </row>
    <row r="1246">
      <c r="A1246" s="329"/>
      <c r="B1246" s="119"/>
      <c r="C1246" s="121"/>
      <c r="D1246" s="121"/>
      <c r="E1246" s="221"/>
      <c r="F1246" s="123">
        <f t="shared" si="1"/>
        <v>1</v>
      </c>
      <c r="G1246" s="121"/>
      <c r="H1246" s="12"/>
      <c r="I1246" s="192"/>
      <c r="J1246" s="192"/>
      <c r="K1246" s="192"/>
      <c r="L1246" s="121"/>
      <c r="M1246" s="125"/>
      <c r="N1246" s="221"/>
      <c r="O1246" s="122" t="s">
        <v>8308</v>
      </c>
      <c r="P1246" s="221"/>
      <c r="Q1246" s="221"/>
      <c r="R1246" s="223"/>
      <c r="S1246" s="223"/>
      <c r="T1246" s="125"/>
      <c r="U1246" s="125"/>
      <c r="V1246" s="125"/>
      <c r="W1246" s="125"/>
      <c r="X1246" s="125"/>
      <c r="Y1246" s="125"/>
      <c r="Z1246" s="125"/>
    </row>
    <row r="1247">
      <c r="A1247" s="329"/>
      <c r="B1247" s="119"/>
      <c r="C1247" s="121"/>
      <c r="D1247" s="121"/>
      <c r="E1247" s="221"/>
      <c r="F1247" s="123">
        <f t="shared" si="1"/>
        <v>1</v>
      </c>
      <c r="G1247" s="121"/>
      <c r="H1247" s="12"/>
      <c r="I1247" s="192"/>
      <c r="J1247" s="192"/>
      <c r="K1247" s="192"/>
      <c r="L1247" s="121"/>
      <c r="M1247" s="125"/>
      <c r="N1247" s="221"/>
      <c r="O1247" s="122" t="s">
        <v>8309</v>
      </c>
      <c r="P1247" s="221"/>
      <c r="Q1247" s="221"/>
      <c r="R1247" s="223"/>
      <c r="S1247" s="223"/>
      <c r="T1247" s="125"/>
      <c r="U1247" s="125"/>
      <c r="V1247" s="125"/>
      <c r="W1247" s="125"/>
      <c r="X1247" s="125"/>
      <c r="Y1247" s="125"/>
      <c r="Z1247" s="125"/>
    </row>
    <row r="1248">
      <c r="A1248" s="329"/>
      <c r="B1248" s="119"/>
      <c r="C1248" s="121"/>
      <c r="D1248" s="121"/>
      <c r="E1248" s="221"/>
      <c r="F1248" s="123">
        <f t="shared" si="1"/>
        <v>1</v>
      </c>
      <c r="G1248" s="121"/>
      <c r="H1248" s="12"/>
      <c r="I1248" s="192"/>
      <c r="J1248" s="192"/>
      <c r="K1248" s="192"/>
      <c r="L1248" s="121"/>
      <c r="M1248" s="125"/>
      <c r="N1248" s="221"/>
      <c r="O1248" s="122" t="s">
        <v>8310</v>
      </c>
      <c r="P1248" s="221"/>
      <c r="Q1248" s="221"/>
      <c r="R1248" s="223"/>
      <c r="S1248" s="223"/>
      <c r="T1248" s="125"/>
      <c r="U1248" s="125"/>
      <c r="V1248" s="125"/>
      <c r="W1248" s="125"/>
      <c r="X1248" s="125"/>
      <c r="Y1248" s="125"/>
      <c r="Z1248" s="125"/>
    </row>
    <row r="1249">
      <c r="A1249" s="329"/>
      <c r="B1249" s="119"/>
      <c r="C1249" s="121"/>
      <c r="D1249" s="121"/>
      <c r="E1249" s="221"/>
      <c r="F1249" s="123">
        <f t="shared" si="1"/>
        <v>1</v>
      </c>
      <c r="G1249" s="121"/>
      <c r="H1249" s="12"/>
      <c r="I1249" s="192"/>
      <c r="J1249" s="192"/>
      <c r="K1249" s="192"/>
      <c r="L1249" s="121"/>
      <c r="M1249" s="125"/>
      <c r="N1249" s="221"/>
      <c r="O1249" s="122" t="s">
        <v>8311</v>
      </c>
      <c r="P1249" s="221"/>
      <c r="Q1249" s="221"/>
      <c r="R1249" s="223"/>
      <c r="S1249" s="223"/>
      <c r="T1249" s="125"/>
      <c r="U1249" s="125"/>
      <c r="V1249" s="125"/>
      <c r="W1249" s="125"/>
      <c r="X1249" s="125"/>
      <c r="Y1249" s="125"/>
      <c r="Z1249" s="125"/>
    </row>
    <row r="1250">
      <c r="A1250" s="329"/>
      <c r="B1250" s="119"/>
      <c r="C1250" s="121"/>
      <c r="D1250" s="121"/>
      <c r="E1250" s="221"/>
      <c r="F1250" s="123">
        <f t="shared" si="1"/>
        <v>1</v>
      </c>
      <c r="G1250" s="121"/>
      <c r="H1250" s="12"/>
      <c r="I1250" s="192"/>
      <c r="J1250" s="192"/>
      <c r="K1250" s="192"/>
      <c r="L1250" s="121"/>
      <c r="M1250" s="125"/>
      <c r="N1250" s="221"/>
      <c r="O1250" s="122" t="s">
        <v>8312</v>
      </c>
      <c r="P1250" s="221"/>
      <c r="Q1250" s="221"/>
      <c r="R1250" s="223"/>
      <c r="S1250" s="223"/>
      <c r="T1250" s="125"/>
      <c r="U1250" s="125"/>
      <c r="V1250" s="125"/>
      <c r="W1250" s="125"/>
      <c r="X1250" s="125"/>
      <c r="Y1250" s="125"/>
      <c r="Z1250" s="125"/>
    </row>
    <row r="1251">
      <c r="A1251" s="329"/>
      <c r="B1251" s="119"/>
      <c r="C1251" s="121"/>
      <c r="D1251" s="121"/>
      <c r="E1251" s="221"/>
      <c r="F1251" s="123">
        <f t="shared" si="1"/>
        <v>1</v>
      </c>
      <c r="G1251" s="121"/>
      <c r="H1251" s="12"/>
      <c r="I1251" s="192"/>
      <c r="J1251" s="192"/>
      <c r="K1251" s="192"/>
      <c r="L1251" s="121"/>
      <c r="M1251" s="125"/>
      <c r="N1251" s="221"/>
      <c r="O1251" s="122" t="s">
        <v>8313</v>
      </c>
      <c r="P1251" s="221"/>
      <c r="Q1251" s="221"/>
      <c r="R1251" s="223"/>
      <c r="S1251" s="223"/>
      <c r="T1251" s="125"/>
      <c r="U1251" s="125"/>
      <c r="V1251" s="125"/>
      <c r="W1251" s="125"/>
      <c r="X1251" s="125"/>
      <c r="Y1251" s="125"/>
      <c r="Z1251" s="125"/>
    </row>
    <row r="1252">
      <c r="A1252" s="329"/>
      <c r="B1252" s="119"/>
      <c r="C1252" s="121"/>
      <c r="D1252" s="121"/>
      <c r="E1252" s="221"/>
      <c r="F1252" s="123">
        <f t="shared" si="1"/>
        <v>1</v>
      </c>
      <c r="G1252" s="121"/>
      <c r="H1252" s="12"/>
      <c r="I1252" s="192"/>
      <c r="J1252" s="192"/>
      <c r="K1252" s="192"/>
      <c r="L1252" s="121"/>
      <c r="M1252" s="125"/>
      <c r="N1252" s="221"/>
      <c r="O1252" s="122" t="s">
        <v>8314</v>
      </c>
      <c r="P1252" s="221"/>
      <c r="Q1252" s="221"/>
      <c r="R1252" s="223"/>
      <c r="S1252" s="223"/>
      <c r="T1252" s="125"/>
      <c r="U1252" s="125"/>
      <c r="V1252" s="125"/>
      <c r="W1252" s="125"/>
      <c r="X1252" s="125"/>
      <c r="Y1252" s="125"/>
      <c r="Z1252" s="125"/>
    </row>
    <row r="1253">
      <c r="A1253" s="329"/>
      <c r="B1253" s="119"/>
      <c r="C1253" s="121"/>
      <c r="D1253" s="121"/>
      <c r="E1253" s="221"/>
      <c r="F1253" s="123">
        <f t="shared" si="1"/>
        <v>1</v>
      </c>
      <c r="G1253" s="121"/>
      <c r="H1253" s="12"/>
      <c r="I1253" s="192"/>
      <c r="J1253" s="192"/>
      <c r="K1253" s="192"/>
      <c r="L1253" s="121"/>
      <c r="M1253" s="125"/>
      <c r="N1253" s="221"/>
      <c r="O1253" s="122" t="s">
        <v>8315</v>
      </c>
      <c r="P1253" s="221"/>
      <c r="Q1253" s="221"/>
      <c r="R1253" s="223"/>
      <c r="S1253" s="223"/>
      <c r="T1253" s="125"/>
      <c r="U1253" s="125"/>
      <c r="V1253" s="125"/>
      <c r="W1253" s="125"/>
      <c r="X1253" s="125"/>
      <c r="Y1253" s="125"/>
      <c r="Z1253" s="125"/>
    </row>
    <row r="1254">
      <c r="A1254" s="329"/>
      <c r="B1254" s="119"/>
      <c r="C1254" s="121"/>
      <c r="D1254" s="121"/>
      <c r="E1254" s="221"/>
      <c r="F1254" s="123">
        <f t="shared" si="1"/>
        <v>1</v>
      </c>
      <c r="G1254" s="121"/>
      <c r="H1254" s="12"/>
      <c r="I1254" s="192"/>
      <c r="J1254" s="192"/>
      <c r="K1254" s="192"/>
      <c r="L1254" s="121"/>
      <c r="M1254" s="125"/>
      <c r="N1254" s="221"/>
      <c r="O1254" s="122" t="s">
        <v>8316</v>
      </c>
      <c r="P1254" s="221"/>
      <c r="Q1254" s="221"/>
      <c r="R1254" s="223"/>
      <c r="S1254" s="223"/>
      <c r="T1254" s="125"/>
      <c r="U1254" s="125"/>
      <c r="V1254" s="125"/>
      <c r="W1254" s="125"/>
      <c r="X1254" s="125"/>
      <c r="Y1254" s="125"/>
      <c r="Z1254" s="125"/>
    </row>
    <row r="1255">
      <c r="A1255" s="329"/>
      <c r="B1255" s="119"/>
      <c r="C1255" s="121"/>
      <c r="D1255" s="121"/>
      <c r="E1255" s="221"/>
      <c r="F1255" s="123">
        <f t="shared" si="1"/>
        <v>1</v>
      </c>
      <c r="G1255" s="121"/>
      <c r="H1255" s="12"/>
      <c r="I1255" s="192"/>
      <c r="J1255" s="192"/>
      <c r="K1255" s="192"/>
      <c r="L1255" s="121"/>
      <c r="M1255" s="125"/>
      <c r="N1255" s="221"/>
      <c r="O1255" s="122" t="s">
        <v>8317</v>
      </c>
      <c r="P1255" s="221"/>
      <c r="Q1255" s="221"/>
      <c r="R1255" s="223"/>
      <c r="S1255" s="223"/>
      <c r="T1255" s="125"/>
      <c r="U1255" s="125"/>
      <c r="V1255" s="125"/>
      <c r="W1255" s="125"/>
      <c r="X1255" s="125"/>
      <c r="Y1255" s="125"/>
      <c r="Z1255" s="125"/>
    </row>
    <row r="1256">
      <c r="A1256" s="329"/>
      <c r="B1256" s="119"/>
      <c r="C1256" s="121"/>
      <c r="D1256" s="121"/>
      <c r="E1256" s="221"/>
      <c r="F1256" s="123">
        <f t="shared" si="1"/>
        <v>1</v>
      </c>
      <c r="G1256" s="121"/>
      <c r="H1256" s="12"/>
      <c r="I1256" s="192"/>
      <c r="J1256" s="192"/>
      <c r="K1256" s="192"/>
      <c r="L1256" s="121"/>
      <c r="M1256" s="125"/>
      <c r="N1256" s="221"/>
      <c r="O1256" s="122" t="s">
        <v>8318</v>
      </c>
      <c r="P1256" s="221"/>
      <c r="Q1256" s="221"/>
      <c r="R1256" s="223"/>
      <c r="S1256" s="223"/>
      <c r="T1256" s="125"/>
      <c r="U1256" s="125"/>
      <c r="V1256" s="125"/>
      <c r="W1256" s="125"/>
      <c r="X1256" s="125"/>
      <c r="Y1256" s="125"/>
      <c r="Z1256" s="125"/>
    </row>
    <row r="1257">
      <c r="A1257" s="329"/>
      <c r="B1257" s="119"/>
      <c r="C1257" s="121"/>
      <c r="D1257" s="121"/>
      <c r="E1257" s="221"/>
      <c r="F1257" s="123">
        <f t="shared" si="1"/>
        <v>1</v>
      </c>
      <c r="G1257" s="121"/>
      <c r="H1257" s="12"/>
      <c r="I1257" s="192"/>
      <c r="J1257" s="192"/>
      <c r="K1257" s="192"/>
      <c r="L1257" s="121"/>
      <c r="M1257" s="125"/>
      <c r="N1257" s="221"/>
      <c r="O1257" s="122" t="s">
        <v>8319</v>
      </c>
      <c r="P1257" s="221"/>
      <c r="Q1257" s="221"/>
      <c r="R1257" s="223"/>
      <c r="S1257" s="223"/>
      <c r="T1257" s="125"/>
      <c r="U1257" s="125"/>
      <c r="V1257" s="125"/>
      <c r="W1257" s="125"/>
      <c r="X1257" s="125"/>
      <c r="Y1257" s="125"/>
      <c r="Z1257" s="125"/>
    </row>
    <row r="1258">
      <c r="A1258" s="329"/>
      <c r="B1258" s="119"/>
      <c r="C1258" s="121"/>
      <c r="D1258" s="121"/>
      <c r="E1258" s="221"/>
      <c r="F1258" s="123">
        <f t="shared" si="1"/>
        <v>1</v>
      </c>
      <c r="G1258" s="121"/>
      <c r="H1258" s="12"/>
      <c r="I1258" s="192"/>
      <c r="J1258" s="192"/>
      <c r="K1258" s="192"/>
      <c r="L1258" s="121"/>
      <c r="M1258" s="125"/>
      <c r="N1258" s="221"/>
      <c r="O1258" s="122" t="s">
        <v>8320</v>
      </c>
      <c r="P1258" s="221"/>
      <c r="Q1258" s="221"/>
      <c r="R1258" s="223"/>
      <c r="S1258" s="223"/>
      <c r="T1258" s="125"/>
      <c r="U1258" s="125"/>
      <c r="V1258" s="125"/>
      <c r="W1258" s="125"/>
      <c r="X1258" s="125"/>
      <c r="Y1258" s="125"/>
      <c r="Z1258" s="125"/>
    </row>
    <row r="1259">
      <c r="A1259" s="329"/>
      <c r="B1259" s="119"/>
      <c r="C1259" s="121"/>
      <c r="D1259" s="121"/>
      <c r="E1259" s="221"/>
      <c r="F1259" s="123">
        <f t="shared" si="1"/>
        <v>1</v>
      </c>
      <c r="G1259" s="121"/>
      <c r="H1259" s="12"/>
      <c r="I1259" s="192"/>
      <c r="J1259" s="192"/>
      <c r="K1259" s="192"/>
      <c r="L1259" s="121"/>
      <c r="M1259" s="125"/>
      <c r="N1259" s="221"/>
      <c r="O1259" s="122" t="s">
        <v>8321</v>
      </c>
      <c r="P1259" s="221"/>
      <c r="Q1259" s="221"/>
      <c r="R1259" s="223"/>
      <c r="S1259" s="223"/>
      <c r="T1259" s="125"/>
      <c r="U1259" s="125"/>
      <c r="V1259" s="125"/>
      <c r="W1259" s="125"/>
      <c r="X1259" s="125"/>
      <c r="Y1259" s="125"/>
      <c r="Z1259" s="125"/>
    </row>
    <row r="1260">
      <c r="A1260" s="329"/>
      <c r="B1260" s="119"/>
      <c r="C1260" s="121"/>
      <c r="D1260" s="121"/>
      <c r="E1260" s="221"/>
      <c r="F1260" s="123">
        <f t="shared" si="1"/>
        <v>1</v>
      </c>
      <c r="G1260" s="121"/>
      <c r="H1260" s="12"/>
      <c r="I1260" s="192"/>
      <c r="J1260" s="192"/>
      <c r="K1260" s="192"/>
      <c r="L1260" s="121"/>
      <c r="M1260" s="125"/>
      <c r="N1260" s="221"/>
      <c r="O1260" s="122" t="s">
        <v>8322</v>
      </c>
      <c r="P1260" s="221"/>
      <c r="Q1260" s="221"/>
      <c r="R1260" s="223"/>
      <c r="S1260" s="223"/>
      <c r="T1260" s="125"/>
      <c r="U1260" s="125"/>
      <c r="V1260" s="125"/>
      <c r="W1260" s="125"/>
      <c r="X1260" s="125"/>
      <c r="Y1260" s="125"/>
      <c r="Z1260" s="125"/>
    </row>
    <row r="1261">
      <c r="A1261" s="329"/>
      <c r="B1261" s="119"/>
      <c r="C1261" s="121"/>
      <c r="D1261" s="121"/>
      <c r="E1261" s="221"/>
      <c r="F1261" s="123">
        <f t="shared" si="1"/>
        <v>1</v>
      </c>
      <c r="G1261" s="121"/>
      <c r="H1261" s="12"/>
      <c r="I1261" s="192"/>
      <c r="J1261" s="192"/>
      <c r="K1261" s="192"/>
      <c r="L1261" s="121"/>
      <c r="M1261" s="125"/>
      <c r="N1261" s="221"/>
      <c r="O1261" s="122" t="s">
        <v>8323</v>
      </c>
      <c r="P1261" s="221"/>
      <c r="Q1261" s="221"/>
      <c r="R1261" s="223"/>
      <c r="S1261" s="223"/>
      <c r="T1261" s="125"/>
      <c r="U1261" s="125"/>
      <c r="V1261" s="125"/>
      <c r="W1261" s="125"/>
      <c r="X1261" s="125"/>
      <c r="Y1261" s="125"/>
      <c r="Z1261" s="125"/>
    </row>
    <row r="1262">
      <c r="A1262" s="329"/>
      <c r="B1262" s="119"/>
      <c r="C1262" s="121"/>
      <c r="D1262" s="121"/>
      <c r="E1262" s="221"/>
      <c r="F1262" s="123">
        <f t="shared" si="1"/>
        <v>1</v>
      </c>
      <c r="G1262" s="121"/>
      <c r="H1262" s="12"/>
      <c r="I1262" s="192"/>
      <c r="J1262" s="192"/>
      <c r="K1262" s="192"/>
      <c r="L1262" s="121"/>
      <c r="M1262" s="125"/>
      <c r="N1262" s="221"/>
      <c r="O1262" s="122" t="s">
        <v>8324</v>
      </c>
      <c r="P1262" s="221"/>
      <c r="Q1262" s="221"/>
      <c r="R1262" s="223"/>
      <c r="S1262" s="223"/>
      <c r="T1262" s="125"/>
      <c r="U1262" s="125"/>
      <c r="V1262" s="125"/>
      <c r="W1262" s="125"/>
      <c r="X1262" s="125"/>
      <c r="Y1262" s="125"/>
      <c r="Z1262" s="125"/>
    </row>
    <row r="1263">
      <c r="A1263" s="329"/>
      <c r="B1263" s="119"/>
      <c r="C1263" s="121"/>
      <c r="D1263" s="121"/>
      <c r="E1263" s="221"/>
      <c r="F1263" s="123">
        <f t="shared" si="1"/>
        <v>1</v>
      </c>
      <c r="G1263" s="121"/>
      <c r="H1263" s="12"/>
      <c r="I1263" s="192"/>
      <c r="J1263" s="192"/>
      <c r="K1263" s="192"/>
      <c r="L1263" s="121"/>
      <c r="M1263" s="125"/>
      <c r="N1263" s="221"/>
      <c r="O1263" s="122" t="s">
        <v>8325</v>
      </c>
      <c r="P1263" s="221"/>
      <c r="Q1263" s="221"/>
      <c r="R1263" s="223"/>
      <c r="S1263" s="223"/>
      <c r="T1263" s="125"/>
      <c r="U1263" s="125"/>
      <c r="V1263" s="125"/>
      <c r="W1263" s="125"/>
      <c r="X1263" s="125"/>
      <c r="Y1263" s="125"/>
      <c r="Z1263" s="125"/>
    </row>
    <row r="1264">
      <c r="A1264" s="329"/>
      <c r="B1264" s="119"/>
      <c r="C1264" s="121"/>
      <c r="D1264" s="121"/>
      <c r="E1264" s="221"/>
      <c r="F1264" s="123">
        <f t="shared" si="1"/>
        <v>1</v>
      </c>
      <c r="G1264" s="121"/>
      <c r="H1264" s="12"/>
      <c r="I1264" s="192"/>
      <c r="J1264" s="192"/>
      <c r="K1264" s="192"/>
      <c r="L1264" s="121"/>
      <c r="M1264" s="125"/>
      <c r="N1264" s="221"/>
      <c r="O1264" s="122" t="s">
        <v>8326</v>
      </c>
      <c r="P1264" s="221"/>
      <c r="Q1264" s="221"/>
      <c r="R1264" s="223"/>
      <c r="S1264" s="223"/>
      <c r="T1264" s="125"/>
      <c r="U1264" s="125"/>
      <c r="V1264" s="125"/>
      <c r="W1264" s="125"/>
      <c r="X1264" s="125"/>
      <c r="Y1264" s="125"/>
      <c r="Z1264" s="125"/>
    </row>
    <row r="1265">
      <c r="A1265" s="329"/>
      <c r="B1265" s="119"/>
      <c r="C1265" s="121"/>
      <c r="D1265" s="121"/>
      <c r="E1265" s="221"/>
      <c r="F1265" s="123">
        <f t="shared" si="1"/>
        <v>1</v>
      </c>
      <c r="G1265" s="121"/>
      <c r="H1265" s="12"/>
      <c r="I1265" s="192"/>
      <c r="J1265" s="192"/>
      <c r="K1265" s="192"/>
      <c r="L1265" s="121"/>
      <c r="M1265" s="125"/>
      <c r="N1265" s="221"/>
      <c r="O1265" s="122" t="s">
        <v>8327</v>
      </c>
      <c r="P1265" s="221"/>
      <c r="Q1265" s="221"/>
      <c r="R1265" s="223"/>
      <c r="S1265" s="223"/>
      <c r="T1265" s="125"/>
      <c r="U1265" s="125"/>
      <c r="V1265" s="125"/>
      <c r="W1265" s="125"/>
      <c r="X1265" s="125"/>
      <c r="Y1265" s="125"/>
      <c r="Z1265" s="125"/>
    </row>
    <row r="1266">
      <c r="A1266" s="329"/>
      <c r="B1266" s="119"/>
      <c r="C1266" s="121"/>
      <c r="D1266" s="121"/>
      <c r="E1266" s="221"/>
      <c r="F1266" s="123">
        <f t="shared" si="1"/>
        <v>1</v>
      </c>
      <c r="G1266" s="121"/>
      <c r="H1266" s="12"/>
      <c r="I1266" s="192"/>
      <c r="J1266" s="192"/>
      <c r="K1266" s="192"/>
      <c r="L1266" s="121"/>
      <c r="M1266" s="125"/>
      <c r="N1266" s="221"/>
      <c r="O1266" s="122" t="s">
        <v>8328</v>
      </c>
      <c r="P1266" s="221"/>
      <c r="Q1266" s="221"/>
      <c r="R1266" s="223"/>
      <c r="S1266" s="223"/>
      <c r="T1266" s="125"/>
      <c r="U1266" s="125"/>
      <c r="V1266" s="125"/>
      <c r="W1266" s="125"/>
      <c r="X1266" s="125"/>
      <c r="Y1266" s="125"/>
      <c r="Z1266" s="125"/>
    </row>
    <row r="1267">
      <c r="A1267" s="329"/>
      <c r="B1267" s="119"/>
      <c r="C1267" s="121"/>
      <c r="D1267" s="121"/>
      <c r="E1267" s="221"/>
      <c r="F1267" s="123">
        <f t="shared" si="1"/>
        <v>1</v>
      </c>
      <c r="G1267" s="121"/>
      <c r="H1267" s="12"/>
      <c r="I1267" s="192"/>
      <c r="J1267" s="192"/>
      <c r="K1267" s="192"/>
      <c r="L1267" s="121"/>
      <c r="M1267" s="125"/>
      <c r="N1267" s="221"/>
      <c r="O1267" s="122" t="s">
        <v>8329</v>
      </c>
      <c r="P1267" s="221"/>
      <c r="Q1267" s="221"/>
      <c r="R1267" s="223"/>
      <c r="S1267" s="223"/>
      <c r="T1267" s="125"/>
      <c r="U1267" s="125"/>
      <c r="V1267" s="125"/>
      <c r="W1267" s="125"/>
      <c r="X1267" s="125"/>
      <c r="Y1267" s="125"/>
      <c r="Z1267" s="125"/>
    </row>
    <row r="1268">
      <c r="A1268" s="329"/>
      <c r="B1268" s="119"/>
      <c r="C1268" s="121"/>
      <c r="D1268" s="121"/>
      <c r="E1268" s="221"/>
      <c r="F1268" s="123">
        <f t="shared" si="1"/>
        <v>1</v>
      </c>
      <c r="G1268" s="121"/>
      <c r="H1268" s="12"/>
      <c r="I1268" s="192"/>
      <c r="J1268" s="192"/>
      <c r="K1268" s="192"/>
      <c r="L1268" s="121"/>
      <c r="M1268" s="125"/>
      <c r="N1268" s="221"/>
      <c r="O1268" s="122" t="s">
        <v>8330</v>
      </c>
      <c r="P1268" s="221"/>
      <c r="Q1268" s="221"/>
      <c r="R1268" s="223"/>
      <c r="S1268" s="223"/>
      <c r="T1268" s="125"/>
      <c r="U1268" s="125"/>
      <c r="V1268" s="125"/>
      <c r="W1268" s="125"/>
      <c r="X1268" s="125"/>
      <c r="Y1268" s="125"/>
      <c r="Z1268" s="125"/>
    </row>
    <row r="1269">
      <c r="A1269" s="329"/>
      <c r="B1269" s="119"/>
      <c r="C1269" s="121"/>
      <c r="D1269" s="121"/>
      <c r="E1269" s="221"/>
      <c r="F1269" s="123">
        <f t="shared" si="1"/>
        <v>1</v>
      </c>
      <c r="G1269" s="121"/>
      <c r="H1269" s="12"/>
      <c r="I1269" s="192"/>
      <c r="J1269" s="192"/>
      <c r="K1269" s="192"/>
      <c r="L1269" s="121"/>
      <c r="M1269" s="125"/>
      <c r="N1269" s="221"/>
      <c r="O1269" s="122" t="s">
        <v>8331</v>
      </c>
      <c r="P1269" s="221"/>
      <c r="Q1269" s="221"/>
      <c r="R1269" s="223"/>
      <c r="S1269" s="223"/>
      <c r="T1269" s="125"/>
      <c r="U1269" s="125"/>
      <c r="V1269" s="125"/>
      <c r="W1269" s="125"/>
      <c r="X1269" s="125"/>
      <c r="Y1269" s="125"/>
      <c r="Z1269" s="125"/>
    </row>
    <row r="1270">
      <c r="A1270" s="329"/>
      <c r="B1270" s="119"/>
      <c r="C1270" s="121"/>
      <c r="D1270" s="121"/>
      <c r="E1270" s="221"/>
      <c r="F1270" s="123">
        <f t="shared" si="1"/>
        <v>1</v>
      </c>
      <c r="G1270" s="121"/>
      <c r="H1270" s="12"/>
      <c r="I1270" s="192"/>
      <c r="J1270" s="192"/>
      <c r="K1270" s="192"/>
      <c r="L1270" s="121"/>
      <c r="M1270" s="125"/>
      <c r="N1270" s="221"/>
      <c r="O1270" s="122" t="s">
        <v>8332</v>
      </c>
      <c r="P1270" s="221"/>
      <c r="Q1270" s="221"/>
      <c r="R1270" s="223"/>
      <c r="S1270" s="223"/>
      <c r="T1270" s="125"/>
      <c r="U1270" s="125"/>
      <c r="V1270" s="125"/>
      <c r="W1270" s="125"/>
      <c r="X1270" s="125"/>
      <c r="Y1270" s="125"/>
      <c r="Z1270" s="125"/>
    </row>
    <row r="1271">
      <c r="A1271" s="329"/>
      <c r="B1271" s="119"/>
      <c r="C1271" s="121"/>
      <c r="D1271" s="121"/>
      <c r="E1271" s="221"/>
      <c r="F1271" s="123">
        <f t="shared" si="1"/>
        <v>1</v>
      </c>
      <c r="G1271" s="121"/>
      <c r="H1271" s="12"/>
      <c r="I1271" s="192"/>
      <c r="J1271" s="192"/>
      <c r="K1271" s="192"/>
      <c r="L1271" s="121"/>
      <c r="M1271" s="125"/>
      <c r="N1271" s="221"/>
      <c r="O1271" s="122" t="s">
        <v>8333</v>
      </c>
      <c r="P1271" s="221"/>
      <c r="Q1271" s="221"/>
      <c r="R1271" s="223"/>
      <c r="S1271" s="223"/>
      <c r="T1271" s="125"/>
      <c r="U1271" s="125"/>
      <c r="V1271" s="125"/>
      <c r="W1271" s="125"/>
      <c r="X1271" s="125"/>
      <c r="Y1271" s="125"/>
      <c r="Z1271" s="125"/>
    </row>
    <row r="1272">
      <c r="A1272" s="329"/>
      <c r="B1272" s="119"/>
      <c r="C1272" s="121"/>
      <c r="D1272" s="121"/>
      <c r="E1272" s="221"/>
      <c r="F1272" s="123">
        <f t="shared" si="1"/>
        <v>1</v>
      </c>
      <c r="G1272" s="121"/>
      <c r="H1272" s="12"/>
      <c r="I1272" s="192"/>
      <c r="J1272" s="192"/>
      <c r="K1272" s="192"/>
      <c r="L1272" s="121"/>
      <c r="M1272" s="125"/>
      <c r="N1272" s="221"/>
      <c r="O1272" s="122" t="s">
        <v>8334</v>
      </c>
      <c r="P1272" s="221"/>
      <c r="Q1272" s="221"/>
      <c r="R1272" s="223"/>
      <c r="S1272" s="223"/>
      <c r="T1272" s="125"/>
      <c r="U1272" s="125"/>
      <c r="V1272" s="125"/>
      <c r="W1272" s="125"/>
      <c r="X1272" s="125"/>
      <c r="Y1272" s="125"/>
      <c r="Z1272" s="125"/>
    </row>
    <row r="1273">
      <c r="A1273" s="329"/>
      <c r="B1273" s="119"/>
      <c r="C1273" s="121"/>
      <c r="D1273" s="121"/>
      <c r="E1273" s="221"/>
      <c r="F1273" s="123">
        <f t="shared" si="1"/>
        <v>1</v>
      </c>
      <c r="G1273" s="121"/>
      <c r="H1273" s="12"/>
      <c r="I1273" s="192"/>
      <c r="J1273" s="192"/>
      <c r="K1273" s="192"/>
      <c r="L1273" s="121"/>
      <c r="M1273" s="125"/>
      <c r="N1273" s="221"/>
      <c r="O1273" s="122" t="s">
        <v>8335</v>
      </c>
      <c r="P1273" s="221"/>
      <c r="Q1273" s="221"/>
      <c r="R1273" s="223"/>
      <c r="S1273" s="223"/>
      <c r="T1273" s="125"/>
      <c r="U1273" s="125"/>
      <c r="V1273" s="125"/>
      <c r="W1273" s="125"/>
      <c r="X1273" s="125"/>
      <c r="Y1273" s="125"/>
      <c r="Z1273" s="125"/>
    </row>
    <row r="1274">
      <c r="A1274" s="329"/>
      <c r="B1274" s="119"/>
      <c r="C1274" s="121"/>
      <c r="D1274" s="121"/>
      <c r="E1274" s="221"/>
      <c r="F1274" s="123">
        <f t="shared" si="1"/>
        <v>1</v>
      </c>
      <c r="G1274" s="121"/>
      <c r="H1274" s="12"/>
      <c r="I1274" s="192"/>
      <c r="J1274" s="192"/>
      <c r="K1274" s="192"/>
      <c r="L1274" s="121"/>
      <c r="M1274" s="125"/>
      <c r="N1274" s="221"/>
      <c r="O1274" s="122" t="s">
        <v>8336</v>
      </c>
      <c r="P1274" s="221"/>
      <c r="Q1274" s="221"/>
      <c r="R1274" s="223"/>
      <c r="S1274" s="223"/>
      <c r="T1274" s="125"/>
      <c r="U1274" s="125"/>
      <c r="V1274" s="125"/>
      <c r="W1274" s="125"/>
      <c r="X1274" s="125"/>
      <c r="Y1274" s="125"/>
      <c r="Z1274" s="125"/>
    </row>
    <row r="1275">
      <c r="A1275" s="329"/>
      <c r="B1275" s="119"/>
      <c r="C1275" s="121"/>
      <c r="D1275" s="121"/>
      <c r="E1275" s="221"/>
      <c r="F1275" s="123">
        <f t="shared" si="1"/>
        <v>1</v>
      </c>
      <c r="G1275" s="121"/>
      <c r="H1275" s="12"/>
      <c r="I1275" s="192"/>
      <c r="J1275" s="192"/>
      <c r="K1275" s="192"/>
      <c r="L1275" s="121"/>
      <c r="M1275" s="125"/>
      <c r="N1275" s="221"/>
      <c r="O1275" s="122" t="s">
        <v>8337</v>
      </c>
      <c r="P1275" s="221"/>
      <c r="Q1275" s="221"/>
      <c r="R1275" s="223"/>
      <c r="S1275" s="223"/>
      <c r="T1275" s="125"/>
      <c r="U1275" s="125"/>
      <c r="V1275" s="125"/>
      <c r="W1275" s="125"/>
      <c r="X1275" s="125"/>
      <c r="Y1275" s="125"/>
      <c r="Z1275" s="125"/>
    </row>
    <row r="1276">
      <c r="A1276" s="329"/>
      <c r="B1276" s="119"/>
      <c r="C1276" s="121"/>
      <c r="D1276" s="121"/>
      <c r="E1276" s="221"/>
      <c r="F1276" s="123">
        <f t="shared" si="1"/>
        <v>1</v>
      </c>
      <c r="G1276" s="121"/>
      <c r="H1276" s="12"/>
      <c r="I1276" s="192"/>
      <c r="J1276" s="192"/>
      <c r="K1276" s="192"/>
      <c r="L1276" s="121"/>
      <c r="M1276" s="125"/>
      <c r="N1276" s="221"/>
      <c r="O1276" s="122" t="s">
        <v>8338</v>
      </c>
      <c r="P1276" s="221"/>
      <c r="Q1276" s="221"/>
      <c r="R1276" s="223"/>
      <c r="S1276" s="223"/>
      <c r="T1276" s="125"/>
      <c r="U1276" s="125"/>
      <c r="V1276" s="125"/>
      <c r="W1276" s="125"/>
      <c r="X1276" s="125"/>
      <c r="Y1276" s="125"/>
      <c r="Z1276" s="125"/>
    </row>
    <row r="1277">
      <c r="A1277" s="329"/>
      <c r="B1277" s="119"/>
      <c r="C1277" s="121"/>
      <c r="D1277" s="121"/>
      <c r="E1277" s="221"/>
      <c r="F1277" s="123">
        <f t="shared" si="1"/>
        <v>1</v>
      </c>
      <c r="G1277" s="121"/>
      <c r="H1277" s="12"/>
      <c r="I1277" s="192"/>
      <c r="J1277" s="192"/>
      <c r="K1277" s="192"/>
      <c r="L1277" s="121"/>
      <c r="M1277" s="125"/>
      <c r="N1277" s="221"/>
      <c r="O1277" s="122" t="s">
        <v>8339</v>
      </c>
      <c r="P1277" s="221"/>
      <c r="Q1277" s="221"/>
      <c r="R1277" s="223"/>
      <c r="S1277" s="223"/>
      <c r="T1277" s="125"/>
      <c r="U1277" s="125"/>
      <c r="V1277" s="125"/>
      <c r="W1277" s="125"/>
      <c r="X1277" s="125"/>
      <c r="Y1277" s="125"/>
      <c r="Z1277" s="125"/>
    </row>
    <row r="1278">
      <c r="A1278" s="329"/>
      <c r="B1278" s="119"/>
      <c r="C1278" s="121"/>
      <c r="D1278" s="121"/>
      <c r="E1278" s="221"/>
      <c r="F1278" s="123">
        <f t="shared" si="1"/>
        <v>1</v>
      </c>
      <c r="G1278" s="121"/>
      <c r="H1278" s="12"/>
      <c r="I1278" s="192"/>
      <c r="J1278" s="192"/>
      <c r="K1278" s="192"/>
      <c r="L1278" s="121"/>
      <c r="M1278" s="125"/>
      <c r="N1278" s="221"/>
      <c r="O1278" s="122" t="s">
        <v>8340</v>
      </c>
      <c r="P1278" s="221"/>
      <c r="Q1278" s="221"/>
      <c r="R1278" s="223"/>
      <c r="S1278" s="223"/>
      <c r="T1278" s="125"/>
      <c r="U1278" s="125"/>
      <c r="V1278" s="125"/>
      <c r="W1278" s="125"/>
      <c r="X1278" s="125"/>
      <c r="Y1278" s="125"/>
      <c r="Z1278" s="125"/>
    </row>
    <row r="1279">
      <c r="A1279" s="329"/>
      <c r="B1279" s="119"/>
      <c r="C1279" s="121"/>
      <c r="D1279" s="121"/>
      <c r="E1279" s="221"/>
      <c r="F1279" s="123">
        <f t="shared" si="1"/>
        <v>1</v>
      </c>
      <c r="G1279" s="121"/>
      <c r="H1279" s="12"/>
      <c r="I1279" s="192"/>
      <c r="J1279" s="192"/>
      <c r="K1279" s="192"/>
      <c r="L1279" s="121"/>
      <c r="M1279" s="125"/>
      <c r="N1279" s="221"/>
      <c r="O1279" s="122" t="s">
        <v>8341</v>
      </c>
      <c r="P1279" s="221"/>
      <c r="Q1279" s="221"/>
      <c r="R1279" s="223"/>
      <c r="S1279" s="223"/>
      <c r="T1279" s="125"/>
      <c r="U1279" s="125"/>
      <c r="V1279" s="125"/>
      <c r="W1279" s="125"/>
      <c r="X1279" s="125"/>
      <c r="Y1279" s="125"/>
      <c r="Z1279" s="125"/>
    </row>
    <row r="1280">
      <c r="A1280" s="329"/>
      <c r="B1280" s="119"/>
      <c r="C1280" s="121"/>
      <c r="D1280" s="121"/>
      <c r="E1280" s="221"/>
      <c r="F1280" s="123">
        <f t="shared" si="1"/>
        <v>1</v>
      </c>
      <c r="G1280" s="121"/>
      <c r="H1280" s="12"/>
      <c r="I1280" s="192"/>
      <c r="J1280" s="192"/>
      <c r="K1280" s="192"/>
      <c r="L1280" s="121"/>
      <c r="M1280" s="125"/>
      <c r="N1280" s="221"/>
      <c r="O1280" s="122" t="s">
        <v>8342</v>
      </c>
      <c r="P1280" s="221"/>
      <c r="Q1280" s="221"/>
      <c r="R1280" s="223"/>
      <c r="S1280" s="223"/>
      <c r="T1280" s="125"/>
      <c r="U1280" s="125"/>
      <c r="V1280" s="125"/>
      <c r="W1280" s="125"/>
      <c r="X1280" s="125"/>
      <c r="Y1280" s="125"/>
      <c r="Z1280" s="125"/>
    </row>
    <row r="1281">
      <c r="A1281" s="329"/>
      <c r="B1281" s="119"/>
      <c r="C1281" s="121"/>
      <c r="D1281" s="121"/>
      <c r="E1281" s="221"/>
      <c r="F1281" s="123">
        <f t="shared" si="1"/>
        <v>1</v>
      </c>
      <c r="G1281" s="121"/>
      <c r="H1281" s="12"/>
      <c r="I1281" s="192"/>
      <c r="J1281" s="192"/>
      <c r="K1281" s="192"/>
      <c r="L1281" s="121"/>
      <c r="M1281" s="125"/>
      <c r="N1281" s="221"/>
      <c r="O1281" s="122" t="s">
        <v>8343</v>
      </c>
      <c r="P1281" s="221"/>
      <c r="Q1281" s="221"/>
      <c r="R1281" s="223"/>
      <c r="S1281" s="223"/>
      <c r="T1281" s="125"/>
      <c r="U1281" s="125"/>
      <c r="V1281" s="125"/>
      <c r="W1281" s="125"/>
      <c r="X1281" s="125"/>
      <c r="Y1281" s="125"/>
      <c r="Z1281" s="125"/>
    </row>
    <row r="1282">
      <c r="A1282" s="329"/>
      <c r="B1282" s="119"/>
      <c r="C1282" s="121"/>
      <c r="D1282" s="121"/>
      <c r="E1282" s="221"/>
      <c r="F1282" s="123">
        <f t="shared" si="1"/>
        <v>1</v>
      </c>
      <c r="G1282" s="121"/>
      <c r="H1282" s="12"/>
      <c r="I1282" s="192"/>
      <c r="J1282" s="192"/>
      <c r="K1282" s="192"/>
      <c r="L1282" s="121"/>
      <c r="M1282" s="125"/>
      <c r="N1282" s="221"/>
      <c r="O1282" s="122" t="s">
        <v>8344</v>
      </c>
      <c r="P1282" s="221"/>
      <c r="Q1282" s="221"/>
      <c r="R1282" s="223"/>
      <c r="S1282" s="223"/>
      <c r="T1282" s="125"/>
      <c r="U1282" s="125"/>
      <c r="V1282" s="125"/>
      <c r="W1282" s="125"/>
      <c r="X1282" s="125"/>
      <c r="Y1282" s="125"/>
      <c r="Z1282" s="125"/>
    </row>
    <row r="1283">
      <c r="A1283" s="329"/>
      <c r="B1283" s="119"/>
      <c r="C1283" s="121"/>
      <c r="D1283" s="121"/>
      <c r="E1283" s="221"/>
      <c r="F1283" s="123">
        <f t="shared" si="1"/>
        <v>1</v>
      </c>
      <c r="G1283" s="121"/>
      <c r="H1283" s="12"/>
      <c r="I1283" s="192"/>
      <c r="J1283" s="192"/>
      <c r="K1283" s="192"/>
      <c r="L1283" s="121"/>
      <c r="M1283" s="125"/>
      <c r="N1283" s="221"/>
      <c r="O1283" s="122" t="s">
        <v>8345</v>
      </c>
      <c r="P1283" s="221"/>
      <c r="Q1283" s="221"/>
      <c r="R1283" s="223"/>
      <c r="S1283" s="223"/>
      <c r="T1283" s="125"/>
      <c r="U1283" s="125"/>
      <c r="V1283" s="125"/>
      <c r="W1283" s="125"/>
      <c r="X1283" s="125"/>
      <c r="Y1283" s="125"/>
      <c r="Z1283" s="125"/>
    </row>
    <row r="1284">
      <c r="A1284" s="329"/>
      <c r="B1284" s="119"/>
      <c r="C1284" s="121"/>
      <c r="D1284" s="121"/>
      <c r="E1284" s="221"/>
      <c r="F1284" s="123">
        <f t="shared" si="1"/>
        <v>1</v>
      </c>
      <c r="G1284" s="121"/>
      <c r="H1284" s="12"/>
      <c r="I1284" s="192"/>
      <c r="J1284" s="192"/>
      <c r="K1284" s="192"/>
      <c r="L1284" s="121"/>
      <c r="M1284" s="125"/>
      <c r="N1284" s="221"/>
      <c r="O1284" s="122" t="s">
        <v>8346</v>
      </c>
      <c r="P1284" s="221"/>
      <c r="Q1284" s="221"/>
      <c r="R1284" s="223"/>
      <c r="S1284" s="223"/>
      <c r="T1284" s="125"/>
      <c r="U1284" s="125"/>
      <c r="V1284" s="125"/>
      <c r="W1284" s="125"/>
      <c r="X1284" s="125"/>
      <c r="Y1284" s="125"/>
      <c r="Z1284" s="125"/>
    </row>
    <row r="1285">
      <c r="A1285" s="329"/>
      <c r="B1285" s="119"/>
      <c r="C1285" s="121"/>
      <c r="D1285" s="121"/>
      <c r="E1285" s="221"/>
      <c r="F1285" s="123">
        <f t="shared" si="1"/>
        <v>1</v>
      </c>
      <c r="G1285" s="121"/>
      <c r="H1285" s="12"/>
      <c r="I1285" s="192"/>
      <c r="J1285" s="192"/>
      <c r="K1285" s="192"/>
      <c r="L1285" s="121"/>
      <c r="M1285" s="125"/>
      <c r="N1285" s="221"/>
      <c r="O1285" s="122" t="s">
        <v>8347</v>
      </c>
      <c r="P1285" s="221"/>
      <c r="Q1285" s="221"/>
      <c r="R1285" s="223"/>
      <c r="S1285" s="223"/>
      <c r="T1285" s="125"/>
      <c r="U1285" s="125"/>
      <c r="V1285" s="125"/>
      <c r="W1285" s="125"/>
      <c r="X1285" s="125"/>
      <c r="Y1285" s="125"/>
      <c r="Z1285" s="125"/>
    </row>
    <row r="1286">
      <c r="A1286" s="329"/>
      <c r="B1286" s="119"/>
      <c r="C1286" s="121"/>
      <c r="D1286" s="121"/>
      <c r="E1286" s="221"/>
      <c r="F1286" s="123">
        <f t="shared" si="1"/>
        <v>1</v>
      </c>
      <c r="G1286" s="121"/>
      <c r="H1286" s="12"/>
      <c r="I1286" s="192"/>
      <c r="J1286" s="192"/>
      <c r="K1286" s="192"/>
      <c r="L1286" s="121"/>
      <c r="M1286" s="125"/>
      <c r="N1286" s="221"/>
      <c r="O1286" s="122" t="s">
        <v>8348</v>
      </c>
      <c r="P1286" s="221"/>
      <c r="Q1286" s="221"/>
      <c r="R1286" s="223"/>
      <c r="S1286" s="223"/>
      <c r="T1286" s="125"/>
      <c r="U1286" s="125"/>
      <c r="V1286" s="125"/>
      <c r="W1286" s="125"/>
      <c r="X1286" s="125"/>
      <c r="Y1286" s="125"/>
      <c r="Z1286" s="125"/>
    </row>
    <row r="1287">
      <c r="A1287" s="329"/>
      <c r="B1287" s="119"/>
      <c r="C1287" s="121"/>
      <c r="D1287" s="121"/>
      <c r="E1287" s="221"/>
      <c r="F1287" s="123">
        <f t="shared" si="1"/>
        <v>1</v>
      </c>
      <c r="G1287" s="121"/>
      <c r="H1287" s="12"/>
      <c r="I1287" s="192"/>
      <c r="J1287" s="192"/>
      <c r="K1287" s="192"/>
      <c r="L1287" s="121"/>
      <c r="M1287" s="125"/>
      <c r="N1287" s="221"/>
      <c r="O1287" s="122" t="s">
        <v>8349</v>
      </c>
      <c r="P1287" s="221"/>
      <c r="Q1287" s="221"/>
      <c r="R1287" s="223"/>
      <c r="S1287" s="223"/>
      <c r="T1287" s="125"/>
      <c r="U1287" s="125"/>
      <c r="V1287" s="125"/>
      <c r="W1287" s="125"/>
      <c r="X1287" s="125"/>
      <c r="Y1287" s="125"/>
      <c r="Z1287" s="125"/>
    </row>
    <row r="1288">
      <c r="A1288" s="329"/>
      <c r="B1288" s="119"/>
      <c r="C1288" s="121"/>
      <c r="D1288" s="121"/>
      <c r="E1288" s="221"/>
      <c r="F1288" s="123">
        <f t="shared" si="1"/>
        <v>1</v>
      </c>
      <c r="G1288" s="121"/>
      <c r="H1288" s="12"/>
      <c r="I1288" s="192"/>
      <c r="J1288" s="192"/>
      <c r="K1288" s="192"/>
      <c r="L1288" s="121"/>
      <c r="M1288" s="125"/>
      <c r="N1288" s="221"/>
      <c r="O1288" s="122" t="s">
        <v>8350</v>
      </c>
      <c r="P1288" s="221"/>
      <c r="Q1288" s="221"/>
      <c r="R1288" s="223"/>
      <c r="S1288" s="223"/>
      <c r="T1288" s="125"/>
      <c r="U1288" s="125"/>
      <c r="V1288" s="125"/>
      <c r="W1288" s="125"/>
      <c r="X1288" s="125"/>
      <c r="Y1288" s="125"/>
      <c r="Z1288" s="125"/>
    </row>
    <row r="1289">
      <c r="A1289" s="329"/>
      <c r="B1289" s="119"/>
      <c r="C1289" s="121"/>
      <c r="D1289" s="121"/>
      <c r="E1289" s="221"/>
      <c r="F1289" s="123">
        <f t="shared" si="1"/>
        <v>1</v>
      </c>
      <c r="G1289" s="121"/>
      <c r="H1289" s="12"/>
      <c r="I1289" s="192"/>
      <c r="J1289" s="192"/>
      <c r="K1289" s="192"/>
      <c r="L1289" s="121"/>
      <c r="M1289" s="125"/>
      <c r="N1289" s="221"/>
      <c r="O1289" s="122" t="s">
        <v>8351</v>
      </c>
      <c r="P1289" s="221"/>
      <c r="Q1289" s="221"/>
      <c r="R1289" s="223"/>
      <c r="S1289" s="223"/>
      <c r="T1289" s="125"/>
      <c r="U1289" s="125"/>
      <c r="V1289" s="125"/>
      <c r="W1289" s="125"/>
      <c r="X1289" s="125"/>
      <c r="Y1289" s="125"/>
      <c r="Z1289" s="125"/>
    </row>
    <row r="1290">
      <c r="A1290" s="329"/>
      <c r="B1290" s="119"/>
      <c r="C1290" s="121"/>
      <c r="D1290" s="121"/>
      <c r="E1290" s="221"/>
      <c r="F1290" s="123">
        <f t="shared" si="1"/>
        <v>1</v>
      </c>
      <c r="G1290" s="121"/>
      <c r="H1290" s="12"/>
      <c r="I1290" s="192"/>
      <c r="J1290" s="192"/>
      <c r="K1290" s="192"/>
      <c r="L1290" s="121"/>
      <c r="M1290" s="125"/>
      <c r="N1290" s="221"/>
      <c r="O1290" s="122" t="s">
        <v>8352</v>
      </c>
      <c r="P1290" s="221"/>
      <c r="Q1290" s="221"/>
      <c r="R1290" s="223"/>
      <c r="S1290" s="223"/>
      <c r="T1290" s="125"/>
      <c r="U1290" s="125"/>
      <c r="V1290" s="125"/>
      <c r="W1290" s="125"/>
      <c r="X1290" s="125"/>
      <c r="Y1290" s="125"/>
      <c r="Z1290" s="125"/>
    </row>
    <row r="1291">
      <c r="A1291" s="329"/>
      <c r="B1291" s="119"/>
      <c r="C1291" s="121"/>
      <c r="D1291" s="121"/>
      <c r="E1291" s="221"/>
      <c r="F1291" s="123">
        <f t="shared" si="1"/>
        <v>1</v>
      </c>
      <c r="G1291" s="121"/>
      <c r="H1291" s="12"/>
      <c r="I1291" s="192"/>
      <c r="J1291" s="192"/>
      <c r="K1291" s="192"/>
      <c r="L1291" s="121"/>
      <c r="M1291" s="125"/>
      <c r="N1291" s="221"/>
      <c r="O1291" s="122" t="s">
        <v>8353</v>
      </c>
      <c r="P1291" s="221"/>
      <c r="Q1291" s="221"/>
      <c r="R1291" s="223"/>
      <c r="S1291" s="223"/>
      <c r="T1291" s="125"/>
      <c r="U1291" s="125"/>
      <c r="V1291" s="125"/>
      <c r="W1291" s="125"/>
      <c r="X1291" s="125"/>
      <c r="Y1291" s="125"/>
      <c r="Z1291" s="125"/>
    </row>
    <row r="1292">
      <c r="A1292" s="329"/>
      <c r="B1292" s="119"/>
      <c r="C1292" s="121"/>
      <c r="D1292" s="121"/>
      <c r="E1292" s="221"/>
      <c r="F1292" s="123">
        <f t="shared" si="1"/>
        <v>1</v>
      </c>
      <c r="G1292" s="121"/>
      <c r="H1292" s="12"/>
      <c r="I1292" s="192"/>
      <c r="J1292" s="192"/>
      <c r="K1292" s="192"/>
      <c r="L1292" s="121"/>
      <c r="M1292" s="125"/>
      <c r="N1292" s="221"/>
      <c r="O1292" s="122" t="s">
        <v>8354</v>
      </c>
      <c r="P1292" s="221"/>
      <c r="Q1292" s="221"/>
      <c r="R1292" s="223"/>
      <c r="S1292" s="223"/>
      <c r="T1292" s="125"/>
      <c r="U1292" s="125"/>
      <c r="V1292" s="125"/>
      <c r="W1292" s="125"/>
      <c r="X1292" s="125"/>
      <c r="Y1292" s="125"/>
      <c r="Z1292" s="125"/>
    </row>
    <row r="1293">
      <c r="A1293" s="329"/>
      <c r="B1293" s="119"/>
      <c r="C1293" s="121"/>
      <c r="D1293" s="121"/>
      <c r="E1293" s="221"/>
      <c r="F1293" s="123">
        <f t="shared" si="1"/>
        <v>1</v>
      </c>
      <c r="G1293" s="121"/>
      <c r="H1293" s="12"/>
      <c r="I1293" s="192"/>
      <c r="J1293" s="192"/>
      <c r="K1293" s="192"/>
      <c r="L1293" s="121"/>
      <c r="M1293" s="125"/>
      <c r="N1293" s="221"/>
      <c r="O1293" s="122" t="s">
        <v>8355</v>
      </c>
      <c r="P1293" s="221"/>
      <c r="Q1293" s="221"/>
      <c r="R1293" s="223"/>
      <c r="S1293" s="223"/>
      <c r="T1293" s="125"/>
      <c r="U1293" s="125"/>
      <c r="V1293" s="125"/>
      <c r="W1293" s="125"/>
      <c r="X1293" s="125"/>
      <c r="Y1293" s="125"/>
      <c r="Z1293" s="125"/>
    </row>
    <row r="1294">
      <c r="A1294" s="329"/>
      <c r="B1294" s="119"/>
      <c r="C1294" s="121"/>
      <c r="D1294" s="121"/>
      <c r="E1294" s="221"/>
      <c r="F1294" s="123">
        <f t="shared" si="1"/>
        <v>1</v>
      </c>
      <c r="G1294" s="121"/>
      <c r="H1294" s="12"/>
      <c r="I1294" s="192"/>
      <c r="J1294" s="192"/>
      <c r="K1294" s="192"/>
      <c r="L1294" s="121"/>
      <c r="M1294" s="125"/>
      <c r="N1294" s="221"/>
      <c r="O1294" s="122" t="s">
        <v>8356</v>
      </c>
      <c r="P1294" s="221"/>
      <c r="Q1294" s="221"/>
      <c r="R1294" s="223"/>
      <c r="S1294" s="223"/>
      <c r="T1294" s="125"/>
      <c r="U1294" s="125"/>
      <c r="V1294" s="125"/>
      <c r="W1294" s="125"/>
      <c r="X1294" s="125"/>
      <c r="Y1294" s="125"/>
      <c r="Z1294" s="125"/>
    </row>
    <row r="1295">
      <c r="A1295" s="329"/>
      <c r="B1295" s="119"/>
      <c r="C1295" s="121"/>
      <c r="D1295" s="121"/>
      <c r="E1295" s="221"/>
      <c r="F1295" s="123">
        <f t="shared" si="1"/>
        <v>1</v>
      </c>
      <c r="G1295" s="121"/>
      <c r="H1295" s="12"/>
      <c r="I1295" s="192"/>
      <c r="J1295" s="192"/>
      <c r="K1295" s="192"/>
      <c r="L1295" s="121"/>
      <c r="M1295" s="125"/>
      <c r="N1295" s="221"/>
      <c r="O1295" s="122" t="s">
        <v>8357</v>
      </c>
      <c r="P1295" s="221"/>
      <c r="Q1295" s="221"/>
      <c r="R1295" s="223"/>
      <c r="S1295" s="223"/>
      <c r="T1295" s="125"/>
      <c r="U1295" s="125"/>
      <c r="V1295" s="125"/>
      <c r="W1295" s="125"/>
      <c r="X1295" s="125"/>
      <c r="Y1295" s="125"/>
      <c r="Z1295" s="125"/>
    </row>
    <row r="1296">
      <c r="A1296" s="329"/>
      <c r="B1296" s="119"/>
      <c r="C1296" s="121"/>
      <c r="D1296" s="121"/>
      <c r="E1296" s="221"/>
      <c r="F1296" s="123">
        <f t="shared" si="1"/>
        <v>1</v>
      </c>
      <c r="G1296" s="121"/>
      <c r="H1296" s="12"/>
      <c r="I1296" s="192"/>
      <c r="J1296" s="192"/>
      <c r="K1296" s="192"/>
      <c r="L1296" s="121"/>
      <c r="M1296" s="125"/>
      <c r="N1296" s="221"/>
      <c r="O1296" s="122" t="s">
        <v>8358</v>
      </c>
      <c r="P1296" s="221"/>
      <c r="Q1296" s="221"/>
      <c r="R1296" s="223"/>
      <c r="S1296" s="223"/>
      <c r="T1296" s="125"/>
      <c r="U1296" s="125"/>
      <c r="V1296" s="125"/>
      <c r="W1296" s="125"/>
      <c r="X1296" s="125"/>
      <c r="Y1296" s="125"/>
      <c r="Z1296" s="125"/>
    </row>
    <row r="1297">
      <c r="A1297" s="329"/>
      <c r="B1297" s="119"/>
      <c r="C1297" s="121"/>
      <c r="D1297" s="121"/>
      <c r="E1297" s="221"/>
      <c r="F1297" s="123">
        <f t="shared" si="1"/>
        <v>1</v>
      </c>
      <c r="G1297" s="121"/>
      <c r="H1297" s="12"/>
      <c r="I1297" s="192"/>
      <c r="J1297" s="192"/>
      <c r="K1297" s="192"/>
      <c r="L1297" s="121"/>
      <c r="M1297" s="125"/>
      <c r="N1297" s="221"/>
      <c r="O1297" s="122" t="s">
        <v>8359</v>
      </c>
      <c r="P1297" s="221"/>
      <c r="Q1297" s="221"/>
      <c r="R1297" s="223"/>
      <c r="S1297" s="223"/>
      <c r="T1297" s="125"/>
      <c r="U1297" s="125"/>
      <c r="V1297" s="125"/>
      <c r="W1297" s="125"/>
      <c r="X1297" s="125"/>
      <c r="Y1297" s="125"/>
      <c r="Z1297" s="125"/>
    </row>
    <row r="1298">
      <c r="A1298" s="329"/>
      <c r="B1298" s="119"/>
      <c r="C1298" s="121"/>
      <c r="D1298" s="121"/>
      <c r="E1298" s="221"/>
      <c r="F1298" s="123">
        <f t="shared" si="1"/>
        <v>1</v>
      </c>
      <c r="G1298" s="121"/>
      <c r="H1298" s="12"/>
      <c r="I1298" s="192"/>
      <c r="J1298" s="192"/>
      <c r="K1298" s="192"/>
      <c r="L1298" s="121"/>
      <c r="M1298" s="125"/>
      <c r="N1298" s="221"/>
      <c r="O1298" s="122" t="s">
        <v>8360</v>
      </c>
      <c r="P1298" s="221"/>
      <c r="Q1298" s="221"/>
      <c r="R1298" s="223"/>
      <c r="S1298" s="223"/>
      <c r="T1298" s="125"/>
      <c r="U1298" s="125"/>
      <c r="V1298" s="125"/>
      <c r="W1298" s="125"/>
      <c r="X1298" s="125"/>
      <c r="Y1298" s="125"/>
      <c r="Z1298" s="125"/>
    </row>
    <row r="1299">
      <c r="A1299" s="329"/>
      <c r="B1299" s="119"/>
      <c r="C1299" s="121"/>
      <c r="D1299" s="121"/>
      <c r="E1299" s="221"/>
      <c r="F1299" s="123">
        <f t="shared" si="1"/>
        <v>1</v>
      </c>
      <c r="G1299" s="121"/>
      <c r="H1299" s="12"/>
      <c r="I1299" s="192"/>
      <c r="J1299" s="192"/>
      <c r="K1299" s="192"/>
      <c r="L1299" s="121"/>
      <c r="M1299" s="125"/>
      <c r="N1299" s="221"/>
      <c r="O1299" s="122" t="s">
        <v>8361</v>
      </c>
      <c r="P1299" s="221"/>
      <c r="Q1299" s="221"/>
      <c r="R1299" s="223"/>
      <c r="S1299" s="223"/>
      <c r="T1299" s="125"/>
      <c r="U1299" s="125"/>
      <c r="V1299" s="125"/>
      <c r="W1299" s="125"/>
      <c r="X1299" s="125"/>
      <c r="Y1299" s="125"/>
      <c r="Z1299" s="125"/>
    </row>
    <row r="1300">
      <c r="A1300" s="329"/>
      <c r="B1300" s="119"/>
      <c r="C1300" s="121"/>
      <c r="D1300" s="121"/>
      <c r="E1300" s="221"/>
      <c r="F1300" s="123">
        <f t="shared" si="1"/>
        <v>1</v>
      </c>
      <c r="G1300" s="121"/>
      <c r="H1300" s="12"/>
      <c r="I1300" s="192"/>
      <c r="J1300" s="192"/>
      <c r="K1300" s="192"/>
      <c r="L1300" s="121"/>
      <c r="M1300" s="125"/>
      <c r="N1300" s="221"/>
      <c r="O1300" s="122" t="s">
        <v>8362</v>
      </c>
      <c r="P1300" s="221"/>
      <c r="Q1300" s="221"/>
      <c r="R1300" s="223"/>
      <c r="S1300" s="223"/>
      <c r="T1300" s="125"/>
      <c r="U1300" s="125"/>
      <c r="V1300" s="125"/>
      <c r="W1300" s="125"/>
      <c r="X1300" s="125"/>
      <c r="Y1300" s="125"/>
      <c r="Z1300" s="125"/>
    </row>
    <row r="1301">
      <c r="A1301" s="329"/>
      <c r="B1301" s="119"/>
      <c r="C1301" s="121"/>
      <c r="D1301" s="121"/>
      <c r="E1301" s="221"/>
      <c r="F1301" s="123">
        <f t="shared" si="1"/>
        <v>1</v>
      </c>
      <c r="G1301" s="121"/>
      <c r="H1301" s="12"/>
      <c r="I1301" s="192"/>
      <c r="J1301" s="192"/>
      <c r="K1301" s="192"/>
      <c r="L1301" s="121"/>
      <c r="M1301" s="125"/>
      <c r="N1301" s="221"/>
      <c r="O1301" s="122" t="s">
        <v>8363</v>
      </c>
      <c r="P1301" s="221"/>
      <c r="Q1301" s="221"/>
      <c r="R1301" s="223"/>
      <c r="S1301" s="223"/>
      <c r="T1301" s="125"/>
      <c r="U1301" s="125"/>
      <c r="V1301" s="125"/>
      <c r="W1301" s="125"/>
      <c r="X1301" s="125"/>
      <c r="Y1301" s="125"/>
      <c r="Z1301" s="125"/>
    </row>
    <row r="1302">
      <c r="A1302" s="329"/>
      <c r="B1302" s="119"/>
      <c r="C1302" s="121"/>
      <c r="D1302" s="121"/>
      <c r="E1302" s="221"/>
      <c r="F1302" s="123">
        <f t="shared" si="1"/>
        <v>1</v>
      </c>
      <c r="G1302" s="121"/>
      <c r="H1302" s="12"/>
      <c r="I1302" s="192"/>
      <c r="J1302" s="192"/>
      <c r="K1302" s="192"/>
      <c r="L1302" s="121"/>
      <c r="M1302" s="125"/>
      <c r="N1302" s="221"/>
      <c r="O1302" s="122" t="s">
        <v>8364</v>
      </c>
      <c r="P1302" s="221"/>
      <c r="Q1302" s="221"/>
      <c r="R1302" s="223"/>
      <c r="S1302" s="223"/>
      <c r="T1302" s="125"/>
      <c r="U1302" s="125"/>
      <c r="V1302" s="125"/>
      <c r="W1302" s="125"/>
      <c r="X1302" s="125"/>
      <c r="Y1302" s="125"/>
      <c r="Z1302" s="125"/>
    </row>
    <row r="1303">
      <c r="A1303" s="329"/>
      <c r="B1303" s="119"/>
      <c r="C1303" s="121"/>
      <c r="D1303" s="121"/>
      <c r="E1303" s="221"/>
      <c r="F1303" s="123">
        <f t="shared" si="1"/>
        <v>1</v>
      </c>
      <c r="G1303" s="121"/>
      <c r="H1303" s="12"/>
      <c r="I1303" s="192"/>
      <c r="J1303" s="192"/>
      <c r="K1303" s="192"/>
      <c r="L1303" s="121"/>
      <c r="M1303" s="125"/>
      <c r="N1303" s="221"/>
      <c r="O1303" s="122" t="s">
        <v>8365</v>
      </c>
      <c r="P1303" s="221"/>
      <c r="Q1303" s="221"/>
      <c r="R1303" s="223"/>
      <c r="S1303" s="223"/>
      <c r="T1303" s="125"/>
      <c r="U1303" s="125"/>
      <c r="V1303" s="125"/>
      <c r="W1303" s="125"/>
      <c r="X1303" s="125"/>
      <c r="Y1303" s="125"/>
      <c r="Z1303" s="125"/>
    </row>
    <row r="1304">
      <c r="A1304" s="329"/>
      <c r="B1304" s="119"/>
      <c r="C1304" s="121"/>
      <c r="D1304" s="121"/>
      <c r="E1304" s="221"/>
      <c r="F1304" s="123">
        <f t="shared" si="1"/>
        <v>1</v>
      </c>
      <c r="G1304" s="121"/>
      <c r="H1304" s="12"/>
      <c r="I1304" s="192"/>
      <c r="J1304" s="192"/>
      <c r="K1304" s="192"/>
      <c r="L1304" s="121"/>
      <c r="M1304" s="125"/>
      <c r="N1304" s="221"/>
      <c r="O1304" s="122" t="s">
        <v>8366</v>
      </c>
      <c r="P1304" s="221"/>
      <c r="Q1304" s="221"/>
      <c r="R1304" s="223"/>
      <c r="S1304" s="223"/>
      <c r="T1304" s="125"/>
      <c r="U1304" s="125"/>
      <c r="V1304" s="125"/>
      <c r="W1304" s="125"/>
      <c r="X1304" s="125"/>
      <c r="Y1304" s="125"/>
      <c r="Z1304" s="125"/>
    </row>
    <row r="1305">
      <c r="A1305" s="329"/>
      <c r="B1305" s="119"/>
      <c r="C1305" s="121"/>
      <c r="D1305" s="121"/>
      <c r="E1305" s="221"/>
      <c r="F1305" s="123">
        <f t="shared" si="1"/>
        <v>1</v>
      </c>
      <c r="G1305" s="121"/>
      <c r="H1305" s="12"/>
      <c r="I1305" s="192"/>
      <c r="J1305" s="192"/>
      <c r="K1305" s="192"/>
      <c r="L1305" s="121"/>
      <c r="M1305" s="125"/>
      <c r="N1305" s="221"/>
      <c r="O1305" s="122" t="s">
        <v>8367</v>
      </c>
      <c r="P1305" s="221"/>
      <c r="Q1305" s="221"/>
      <c r="R1305" s="223"/>
      <c r="S1305" s="223"/>
      <c r="T1305" s="125"/>
      <c r="U1305" s="125"/>
      <c r="V1305" s="125"/>
      <c r="W1305" s="125"/>
      <c r="X1305" s="125"/>
      <c r="Y1305" s="125"/>
      <c r="Z1305" s="125"/>
    </row>
    <row r="1306">
      <c r="A1306" s="329"/>
      <c r="B1306" s="119"/>
      <c r="C1306" s="121"/>
      <c r="D1306" s="121"/>
      <c r="E1306" s="221"/>
      <c r="F1306" s="123">
        <f t="shared" si="1"/>
        <v>1</v>
      </c>
      <c r="G1306" s="121"/>
      <c r="H1306" s="12"/>
      <c r="I1306" s="192"/>
      <c r="J1306" s="192"/>
      <c r="K1306" s="192"/>
      <c r="L1306" s="121"/>
      <c r="M1306" s="125"/>
      <c r="N1306" s="221"/>
      <c r="O1306" s="122" t="s">
        <v>8368</v>
      </c>
      <c r="P1306" s="221"/>
      <c r="Q1306" s="221"/>
      <c r="R1306" s="223"/>
      <c r="S1306" s="223"/>
      <c r="T1306" s="125"/>
      <c r="U1306" s="125"/>
      <c r="V1306" s="125"/>
      <c r="W1306" s="125"/>
      <c r="X1306" s="125"/>
      <c r="Y1306" s="125"/>
      <c r="Z1306" s="125"/>
    </row>
    <row r="1307">
      <c r="A1307" s="329"/>
      <c r="B1307" s="119"/>
      <c r="C1307" s="121"/>
      <c r="D1307" s="121"/>
      <c r="E1307" s="221"/>
      <c r="F1307" s="123">
        <f t="shared" si="1"/>
        <v>1</v>
      </c>
      <c r="G1307" s="121"/>
      <c r="H1307" s="12"/>
      <c r="I1307" s="192"/>
      <c r="J1307" s="192"/>
      <c r="K1307" s="192"/>
      <c r="L1307" s="121"/>
      <c r="M1307" s="125"/>
      <c r="N1307" s="221"/>
      <c r="O1307" s="122" t="s">
        <v>8369</v>
      </c>
      <c r="P1307" s="221"/>
      <c r="Q1307" s="221"/>
      <c r="R1307" s="223"/>
      <c r="S1307" s="223"/>
      <c r="T1307" s="125"/>
      <c r="U1307" s="125"/>
      <c r="V1307" s="125"/>
      <c r="W1307" s="125"/>
      <c r="X1307" s="125"/>
      <c r="Y1307" s="125"/>
      <c r="Z1307" s="125"/>
    </row>
    <row r="1308">
      <c r="A1308" s="329"/>
      <c r="B1308" s="119"/>
      <c r="C1308" s="121"/>
      <c r="D1308" s="121"/>
      <c r="E1308" s="221"/>
      <c r="F1308" s="123">
        <f t="shared" si="1"/>
        <v>1</v>
      </c>
      <c r="G1308" s="121"/>
      <c r="H1308" s="12"/>
      <c r="I1308" s="192"/>
      <c r="J1308" s="192"/>
      <c r="K1308" s="192"/>
      <c r="L1308" s="121"/>
      <c r="M1308" s="125"/>
      <c r="N1308" s="221"/>
      <c r="O1308" s="122" t="s">
        <v>8370</v>
      </c>
      <c r="P1308" s="221"/>
      <c r="Q1308" s="221"/>
      <c r="R1308" s="223"/>
      <c r="S1308" s="223"/>
      <c r="T1308" s="125"/>
      <c r="U1308" s="125"/>
      <c r="V1308" s="125"/>
      <c r="W1308" s="125"/>
      <c r="X1308" s="125"/>
      <c r="Y1308" s="125"/>
      <c r="Z1308" s="125"/>
    </row>
    <row r="1309">
      <c r="A1309" s="329"/>
      <c r="B1309" s="119"/>
      <c r="C1309" s="121"/>
      <c r="D1309" s="121"/>
      <c r="E1309" s="221"/>
      <c r="F1309" s="123">
        <f t="shared" si="1"/>
        <v>1</v>
      </c>
      <c r="G1309" s="121"/>
      <c r="H1309" s="12"/>
      <c r="I1309" s="192"/>
      <c r="J1309" s="192"/>
      <c r="K1309" s="192"/>
      <c r="L1309" s="121"/>
      <c r="M1309" s="125"/>
      <c r="N1309" s="221"/>
      <c r="O1309" s="122" t="s">
        <v>8371</v>
      </c>
      <c r="P1309" s="221"/>
      <c r="Q1309" s="221"/>
      <c r="R1309" s="223"/>
      <c r="S1309" s="223"/>
      <c r="T1309" s="125"/>
      <c r="U1309" s="125"/>
      <c r="V1309" s="125"/>
      <c r="W1309" s="125"/>
      <c r="X1309" s="125"/>
      <c r="Y1309" s="125"/>
      <c r="Z1309" s="125"/>
    </row>
    <row r="1310">
      <c r="A1310" s="329"/>
      <c r="B1310" s="119"/>
      <c r="C1310" s="121"/>
      <c r="D1310" s="121"/>
      <c r="E1310" s="221"/>
      <c r="F1310" s="123">
        <f t="shared" si="1"/>
        <v>1</v>
      </c>
      <c r="G1310" s="121"/>
      <c r="H1310" s="12"/>
      <c r="I1310" s="192"/>
      <c r="J1310" s="192"/>
      <c r="K1310" s="192"/>
      <c r="L1310" s="121"/>
      <c r="M1310" s="125"/>
      <c r="N1310" s="221"/>
      <c r="O1310" s="122" t="s">
        <v>8372</v>
      </c>
      <c r="P1310" s="221"/>
      <c r="Q1310" s="221"/>
      <c r="R1310" s="223"/>
      <c r="S1310" s="223"/>
      <c r="T1310" s="125"/>
      <c r="U1310" s="125"/>
      <c r="V1310" s="125"/>
      <c r="W1310" s="125"/>
      <c r="X1310" s="125"/>
      <c r="Y1310" s="125"/>
      <c r="Z1310" s="125"/>
    </row>
    <row r="1311">
      <c r="A1311" s="329"/>
      <c r="B1311" s="119"/>
      <c r="C1311" s="121"/>
      <c r="D1311" s="121"/>
      <c r="E1311" s="221"/>
      <c r="F1311" s="123">
        <f t="shared" si="1"/>
        <v>1</v>
      </c>
      <c r="G1311" s="121"/>
      <c r="H1311" s="12"/>
      <c r="I1311" s="192"/>
      <c r="J1311" s="192"/>
      <c r="K1311" s="192"/>
      <c r="L1311" s="121"/>
      <c r="M1311" s="125"/>
      <c r="N1311" s="221"/>
      <c r="O1311" s="122" t="s">
        <v>8373</v>
      </c>
      <c r="P1311" s="221"/>
      <c r="Q1311" s="221"/>
      <c r="R1311" s="223"/>
      <c r="S1311" s="223"/>
      <c r="T1311" s="125"/>
      <c r="U1311" s="125"/>
      <c r="V1311" s="125"/>
      <c r="W1311" s="125"/>
      <c r="X1311" s="125"/>
      <c r="Y1311" s="125"/>
      <c r="Z1311" s="125"/>
    </row>
    <row r="1312">
      <c r="A1312" s="329"/>
      <c r="B1312" s="119"/>
      <c r="C1312" s="121"/>
      <c r="D1312" s="121"/>
      <c r="E1312" s="221"/>
      <c r="F1312" s="123">
        <f t="shared" si="1"/>
        <v>1</v>
      </c>
      <c r="G1312" s="121"/>
      <c r="H1312" s="12"/>
      <c r="I1312" s="192"/>
      <c r="J1312" s="192"/>
      <c r="K1312" s="192"/>
      <c r="L1312" s="121"/>
      <c r="M1312" s="125"/>
      <c r="N1312" s="221"/>
      <c r="O1312" s="122" t="s">
        <v>8374</v>
      </c>
      <c r="P1312" s="221"/>
      <c r="Q1312" s="221"/>
      <c r="R1312" s="223"/>
      <c r="S1312" s="223"/>
      <c r="T1312" s="125"/>
      <c r="U1312" s="125"/>
      <c r="V1312" s="125"/>
      <c r="W1312" s="125"/>
      <c r="X1312" s="125"/>
      <c r="Y1312" s="125"/>
      <c r="Z1312" s="125"/>
    </row>
    <row r="1313">
      <c r="A1313" s="329"/>
      <c r="B1313" s="119"/>
      <c r="C1313" s="121"/>
      <c r="D1313" s="121"/>
      <c r="E1313" s="221"/>
      <c r="F1313" s="123">
        <f t="shared" si="1"/>
        <v>1</v>
      </c>
      <c r="G1313" s="121"/>
      <c r="H1313" s="12"/>
      <c r="I1313" s="192"/>
      <c r="J1313" s="192"/>
      <c r="K1313" s="192"/>
      <c r="L1313" s="121"/>
      <c r="M1313" s="125"/>
      <c r="N1313" s="221"/>
      <c r="O1313" s="122" t="s">
        <v>8375</v>
      </c>
      <c r="P1313" s="221"/>
      <c r="Q1313" s="221"/>
      <c r="R1313" s="223"/>
      <c r="S1313" s="223"/>
      <c r="T1313" s="125"/>
      <c r="U1313" s="125"/>
      <c r="V1313" s="125"/>
      <c r="W1313" s="125"/>
      <c r="X1313" s="125"/>
      <c r="Y1313" s="125"/>
      <c r="Z1313" s="125"/>
    </row>
    <row r="1314">
      <c r="A1314" s="329"/>
      <c r="B1314" s="119"/>
      <c r="C1314" s="121"/>
      <c r="D1314" s="121"/>
      <c r="E1314" s="221"/>
      <c r="F1314" s="123">
        <f t="shared" si="1"/>
        <v>1</v>
      </c>
      <c r="G1314" s="121"/>
      <c r="H1314" s="12"/>
      <c r="I1314" s="192"/>
      <c r="J1314" s="192"/>
      <c r="K1314" s="192"/>
      <c r="L1314" s="121"/>
      <c r="M1314" s="125"/>
      <c r="N1314" s="221"/>
      <c r="O1314" s="122" t="s">
        <v>8376</v>
      </c>
      <c r="P1314" s="221"/>
      <c r="Q1314" s="221"/>
      <c r="R1314" s="223"/>
      <c r="S1314" s="223"/>
      <c r="T1314" s="125"/>
      <c r="U1314" s="125"/>
      <c r="V1314" s="125"/>
      <c r="W1314" s="125"/>
      <c r="X1314" s="125"/>
      <c r="Y1314" s="125"/>
      <c r="Z1314" s="125"/>
    </row>
    <row r="1315">
      <c r="A1315" s="329"/>
      <c r="B1315" s="119"/>
      <c r="C1315" s="121"/>
      <c r="D1315" s="121"/>
      <c r="E1315" s="221"/>
      <c r="F1315" s="123">
        <f t="shared" si="1"/>
        <v>1</v>
      </c>
      <c r="G1315" s="121"/>
      <c r="H1315" s="12"/>
      <c r="I1315" s="192"/>
      <c r="J1315" s="192"/>
      <c r="K1315" s="192"/>
      <c r="L1315" s="121"/>
      <c r="M1315" s="125"/>
      <c r="N1315" s="221"/>
      <c r="O1315" s="122" t="s">
        <v>8377</v>
      </c>
      <c r="P1315" s="221"/>
      <c r="Q1315" s="221"/>
      <c r="R1315" s="223"/>
      <c r="S1315" s="223"/>
      <c r="T1315" s="125"/>
      <c r="U1315" s="125"/>
      <c r="V1315" s="125"/>
      <c r="W1315" s="125"/>
      <c r="X1315" s="125"/>
      <c r="Y1315" s="125"/>
      <c r="Z1315" s="125"/>
    </row>
    <row r="1316">
      <c r="A1316" s="329"/>
      <c r="B1316" s="119"/>
      <c r="C1316" s="121"/>
      <c r="D1316" s="121"/>
      <c r="E1316" s="221"/>
      <c r="F1316" s="123">
        <f t="shared" si="1"/>
        <v>1</v>
      </c>
      <c r="G1316" s="121"/>
      <c r="H1316" s="12"/>
      <c r="I1316" s="192"/>
      <c r="J1316" s="192"/>
      <c r="K1316" s="192"/>
      <c r="L1316" s="121"/>
      <c r="M1316" s="125"/>
      <c r="N1316" s="221"/>
      <c r="O1316" s="122" t="s">
        <v>8378</v>
      </c>
      <c r="P1316" s="221"/>
      <c r="Q1316" s="221"/>
      <c r="R1316" s="223"/>
      <c r="S1316" s="223"/>
      <c r="T1316" s="125"/>
      <c r="U1316" s="125"/>
      <c r="V1316" s="125"/>
      <c r="W1316" s="125"/>
      <c r="X1316" s="125"/>
      <c r="Y1316" s="125"/>
      <c r="Z1316" s="125"/>
    </row>
    <row r="1317">
      <c r="A1317" s="329"/>
      <c r="B1317" s="119"/>
      <c r="C1317" s="121"/>
      <c r="D1317" s="121"/>
      <c r="E1317" s="221"/>
      <c r="F1317" s="123">
        <f t="shared" si="1"/>
        <v>1</v>
      </c>
      <c r="G1317" s="121"/>
      <c r="H1317" s="12"/>
      <c r="I1317" s="192"/>
      <c r="J1317" s="192"/>
      <c r="K1317" s="192"/>
      <c r="L1317" s="121"/>
      <c r="M1317" s="125"/>
      <c r="N1317" s="221"/>
      <c r="O1317" s="122" t="s">
        <v>8379</v>
      </c>
      <c r="P1317" s="221"/>
      <c r="Q1317" s="221"/>
      <c r="R1317" s="223"/>
      <c r="S1317" s="223"/>
      <c r="T1317" s="125"/>
      <c r="U1317" s="125"/>
      <c r="V1317" s="125"/>
      <c r="W1317" s="125"/>
      <c r="X1317" s="125"/>
      <c r="Y1317" s="125"/>
      <c r="Z1317" s="125"/>
    </row>
    <row r="1318">
      <c r="A1318" s="329"/>
      <c r="B1318" s="119"/>
      <c r="C1318" s="121"/>
      <c r="D1318" s="121"/>
      <c r="E1318" s="221"/>
      <c r="F1318" s="123">
        <f t="shared" si="1"/>
        <v>1</v>
      </c>
      <c r="G1318" s="121"/>
      <c r="H1318" s="12"/>
      <c r="I1318" s="192"/>
      <c r="J1318" s="192"/>
      <c r="K1318" s="192"/>
      <c r="L1318" s="121"/>
      <c r="M1318" s="125"/>
      <c r="N1318" s="221"/>
      <c r="O1318" s="122" t="s">
        <v>8380</v>
      </c>
      <c r="P1318" s="221"/>
      <c r="Q1318" s="221"/>
      <c r="R1318" s="223"/>
      <c r="S1318" s="223"/>
      <c r="T1318" s="125"/>
      <c r="U1318" s="125"/>
      <c r="V1318" s="125"/>
      <c r="W1318" s="125"/>
      <c r="X1318" s="125"/>
      <c r="Y1318" s="125"/>
      <c r="Z1318" s="125"/>
    </row>
    <row r="1319">
      <c r="A1319" s="329"/>
      <c r="B1319" s="119"/>
      <c r="C1319" s="121"/>
      <c r="D1319" s="121"/>
      <c r="E1319" s="221"/>
      <c r="F1319" s="123">
        <f t="shared" si="1"/>
        <v>1</v>
      </c>
      <c r="G1319" s="121"/>
      <c r="H1319" s="12"/>
      <c r="I1319" s="192"/>
      <c r="J1319" s="192"/>
      <c r="K1319" s="192"/>
      <c r="L1319" s="121"/>
      <c r="M1319" s="125"/>
      <c r="N1319" s="221"/>
      <c r="O1319" s="122" t="s">
        <v>8381</v>
      </c>
      <c r="P1319" s="221"/>
      <c r="Q1319" s="221"/>
      <c r="R1319" s="223"/>
      <c r="S1319" s="223"/>
      <c r="T1319" s="125"/>
      <c r="U1319" s="125"/>
      <c r="V1319" s="125"/>
      <c r="W1319" s="125"/>
      <c r="X1319" s="125"/>
      <c r="Y1319" s="125"/>
      <c r="Z1319" s="125"/>
    </row>
    <row r="1320">
      <c r="A1320" s="329"/>
      <c r="B1320" s="119"/>
      <c r="C1320" s="121"/>
      <c r="D1320" s="121"/>
      <c r="E1320" s="221"/>
      <c r="F1320" s="123">
        <f t="shared" si="1"/>
        <v>1</v>
      </c>
      <c r="G1320" s="121"/>
      <c r="H1320" s="12"/>
      <c r="I1320" s="192"/>
      <c r="J1320" s="192"/>
      <c r="K1320" s="192"/>
      <c r="L1320" s="121"/>
      <c r="M1320" s="125"/>
      <c r="N1320" s="221"/>
      <c r="O1320" s="122" t="s">
        <v>8382</v>
      </c>
      <c r="P1320" s="221"/>
      <c r="Q1320" s="221"/>
      <c r="R1320" s="223"/>
      <c r="S1320" s="223"/>
      <c r="T1320" s="125"/>
      <c r="U1320" s="125"/>
      <c r="V1320" s="125"/>
      <c r="W1320" s="125"/>
      <c r="X1320" s="125"/>
      <c r="Y1320" s="125"/>
      <c r="Z1320" s="125"/>
    </row>
    <row r="1321">
      <c r="A1321" s="329"/>
      <c r="B1321" s="119"/>
      <c r="C1321" s="121"/>
      <c r="D1321" s="121"/>
      <c r="E1321" s="221"/>
      <c r="F1321" s="123">
        <f t="shared" si="1"/>
        <v>1</v>
      </c>
      <c r="G1321" s="121"/>
      <c r="H1321" s="12"/>
      <c r="I1321" s="192"/>
      <c r="J1321" s="192"/>
      <c r="K1321" s="192"/>
      <c r="L1321" s="121"/>
      <c r="M1321" s="125"/>
      <c r="N1321" s="221"/>
      <c r="O1321" s="122" t="s">
        <v>8383</v>
      </c>
      <c r="P1321" s="221"/>
      <c r="Q1321" s="221"/>
      <c r="R1321" s="223"/>
      <c r="S1321" s="223"/>
      <c r="T1321" s="125"/>
      <c r="U1321" s="125"/>
      <c r="V1321" s="125"/>
      <c r="W1321" s="125"/>
      <c r="X1321" s="125"/>
      <c r="Y1321" s="125"/>
      <c r="Z1321" s="125"/>
    </row>
    <row r="1322">
      <c r="A1322" s="329"/>
      <c r="B1322" s="119"/>
      <c r="C1322" s="121"/>
      <c r="D1322" s="121"/>
      <c r="E1322" s="221"/>
      <c r="F1322" s="123">
        <f t="shared" si="1"/>
        <v>1</v>
      </c>
      <c r="G1322" s="121"/>
      <c r="H1322" s="12"/>
      <c r="I1322" s="192"/>
      <c r="J1322" s="192"/>
      <c r="K1322" s="192"/>
      <c r="L1322" s="121"/>
      <c r="M1322" s="125"/>
      <c r="N1322" s="221"/>
      <c r="O1322" s="122" t="s">
        <v>8384</v>
      </c>
      <c r="P1322" s="221"/>
      <c r="Q1322" s="221"/>
      <c r="R1322" s="223"/>
      <c r="S1322" s="223"/>
      <c r="T1322" s="125"/>
      <c r="U1322" s="125"/>
      <c r="V1322" s="125"/>
      <c r="W1322" s="125"/>
      <c r="X1322" s="125"/>
      <c r="Y1322" s="125"/>
      <c r="Z1322" s="125"/>
    </row>
    <row r="1323">
      <c r="A1323" s="329"/>
      <c r="B1323" s="119"/>
      <c r="C1323" s="121"/>
      <c r="D1323" s="121"/>
      <c r="E1323" s="221"/>
      <c r="F1323" s="123">
        <f t="shared" si="1"/>
        <v>1</v>
      </c>
      <c r="G1323" s="121"/>
      <c r="H1323" s="12"/>
      <c r="I1323" s="192"/>
      <c r="J1323" s="192"/>
      <c r="K1323" s="192"/>
      <c r="L1323" s="121"/>
      <c r="M1323" s="125"/>
      <c r="N1323" s="221"/>
      <c r="O1323" s="122" t="s">
        <v>8385</v>
      </c>
      <c r="P1323" s="221"/>
      <c r="Q1323" s="221"/>
      <c r="R1323" s="223"/>
      <c r="S1323" s="223"/>
      <c r="T1323" s="125"/>
      <c r="U1323" s="125"/>
      <c r="V1323" s="125"/>
      <c r="W1323" s="125"/>
      <c r="X1323" s="125"/>
      <c r="Y1323" s="125"/>
      <c r="Z1323" s="125"/>
    </row>
    <row r="1324">
      <c r="A1324" s="329"/>
      <c r="B1324" s="119"/>
      <c r="C1324" s="121"/>
      <c r="D1324" s="121"/>
      <c r="E1324" s="221"/>
      <c r="F1324" s="123">
        <f t="shared" si="1"/>
        <v>1</v>
      </c>
      <c r="G1324" s="121"/>
      <c r="H1324" s="12"/>
      <c r="I1324" s="192"/>
      <c r="J1324" s="192"/>
      <c r="K1324" s="192"/>
      <c r="L1324" s="121"/>
      <c r="M1324" s="125"/>
      <c r="N1324" s="221"/>
      <c r="O1324" s="122" t="s">
        <v>8386</v>
      </c>
      <c r="P1324" s="221"/>
      <c r="Q1324" s="221"/>
      <c r="R1324" s="223"/>
      <c r="S1324" s="223"/>
      <c r="T1324" s="125"/>
      <c r="U1324" s="125"/>
      <c r="V1324" s="125"/>
      <c r="W1324" s="125"/>
      <c r="X1324" s="125"/>
      <c r="Y1324" s="125"/>
      <c r="Z1324" s="125"/>
    </row>
    <row r="1325">
      <c r="A1325" s="329"/>
      <c r="B1325" s="119"/>
      <c r="C1325" s="121"/>
      <c r="D1325" s="121"/>
      <c r="E1325" s="221"/>
      <c r="F1325" s="123">
        <f t="shared" si="1"/>
        <v>1</v>
      </c>
      <c r="G1325" s="121"/>
      <c r="H1325" s="12"/>
      <c r="I1325" s="192"/>
      <c r="J1325" s="192"/>
      <c r="K1325" s="192"/>
      <c r="L1325" s="121"/>
      <c r="M1325" s="125"/>
      <c r="N1325" s="221"/>
      <c r="O1325" s="122" t="s">
        <v>8387</v>
      </c>
      <c r="P1325" s="221"/>
      <c r="Q1325" s="221"/>
      <c r="R1325" s="223"/>
      <c r="S1325" s="223"/>
      <c r="T1325" s="125"/>
      <c r="U1325" s="125"/>
      <c r="V1325" s="125"/>
      <c r="W1325" s="125"/>
      <c r="X1325" s="125"/>
      <c r="Y1325" s="125"/>
      <c r="Z1325" s="125"/>
    </row>
    <row r="1326">
      <c r="A1326" s="329"/>
      <c r="B1326" s="119"/>
      <c r="C1326" s="121"/>
      <c r="D1326" s="121"/>
      <c r="E1326" s="221"/>
      <c r="F1326" s="123">
        <f t="shared" si="1"/>
        <v>1</v>
      </c>
      <c r="G1326" s="121"/>
      <c r="H1326" s="12"/>
      <c r="I1326" s="192"/>
      <c r="J1326" s="192"/>
      <c r="K1326" s="192"/>
      <c r="L1326" s="121"/>
      <c r="M1326" s="125"/>
      <c r="N1326" s="221"/>
      <c r="O1326" s="122" t="s">
        <v>8388</v>
      </c>
      <c r="P1326" s="221"/>
      <c r="Q1326" s="221"/>
      <c r="R1326" s="223"/>
      <c r="S1326" s="223"/>
      <c r="T1326" s="125"/>
      <c r="U1326" s="125"/>
      <c r="V1326" s="125"/>
      <c r="W1326" s="125"/>
      <c r="X1326" s="125"/>
      <c r="Y1326" s="125"/>
      <c r="Z1326" s="125"/>
    </row>
    <row r="1327">
      <c r="A1327" s="329"/>
      <c r="B1327" s="119"/>
      <c r="C1327" s="121"/>
      <c r="D1327" s="121"/>
      <c r="E1327" s="221"/>
      <c r="F1327" s="123">
        <f t="shared" si="1"/>
        <v>1</v>
      </c>
      <c r="G1327" s="121"/>
      <c r="H1327" s="12"/>
      <c r="I1327" s="192"/>
      <c r="J1327" s="192"/>
      <c r="K1327" s="192"/>
      <c r="L1327" s="121"/>
      <c r="M1327" s="125"/>
      <c r="N1327" s="221"/>
      <c r="O1327" s="122" t="s">
        <v>8389</v>
      </c>
      <c r="P1327" s="221"/>
      <c r="Q1327" s="221"/>
      <c r="R1327" s="223"/>
      <c r="S1327" s="223"/>
      <c r="T1327" s="125"/>
      <c r="U1327" s="125"/>
      <c r="V1327" s="125"/>
      <c r="W1327" s="125"/>
      <c r="X1327" s="125"/>
      <c r="Y1327" s="125"/>
      <c r="Z1327" s="125"/>
    </row>
    <row r="1328">
      <c r="A1328" s="329"/>
      <c r="B1328" s="119"/>
      <c r="C1328" s="121"/>
      <c r="D1328" s="121"/>
      <c r="E1328" s="221"/>
      <c r="F1328" s="123">
        <f t="shared" si="1"/>
        <v>0</v>
      </c>
      <c r="G1328" s="121"/>
      <c r="H1328" s="12"/>
      <c r="I1328" s="192"/>
      <c r="J1328" s="192"/>
      <c r="K1328" s="192"/>
      <c r="L1328" s="121"/>
      <c r="M1328" s="125"/>
      <c r="N1328" s="221"/>
      <c r="O1328" s="125"/>
      <c r="P1328" s="221"/>
      <c r="Q1328" s="221"/>
      <c r="R1328" s="223"/>
      <c r="S1328" s="223"/>
      <c r="T1328" s="125"/>
      <c r="U1328" s="125"/>
      <c r="V1328" s="125"/>
      <c r="W1328" s="125"/>
      <c r="X1328" s="125"/>
      <c r="Y1328" s="125"/>
      <c r="Z1328" s="125"/>
    </row>
    <row r="1329">
      <c r="A1329" s="33"/>
      <c r="B1329" s="33"/>
      <c r="C1329" s="12"/>
      <c r="D1329" s="12"/>
      <c r="E1329" s="15"/>
      <c r="F1329" s="123">
        <f t="shared" si="1"/>
        <v>0</v>
      </c>
      <c r="G1329" s="12"/>
      <c r="H1329" s="12"/>
      <c r="I1329" s="12"/>
      <c r="J1329" s="12"/>
      <c r="K1329" s="12"/>
      <c r="L1329" s="12"/>
      <c r="N1329" s="15"/>
      <c r="P1329" s="15"/>
      <c r="Q1329" s="15"/>
      <c r="R1329" s="88"/>
      <c r="S1329" s="88"/>
    </row>
    <row r="1330">
      <c r="A1330" s="329" t="s">
        <v>8390</v>
      </c>
      <c r="B1330" s="329" t="s">
        <v>3422</v>
      </c>
      <c r="C1330" s="154" t="s">
        <v>3423</v>
      </c>
      <c r="D1330" s="154" t="s">
        <v>3423</v>
      </c>
      <c r="E1330" s="151" t="s">
        <v>3424</v>
      </c>
      <c r="F1330" s="123">
        <f t="shared" si="1"/>
        <v>1</v>
      </c>
      <c r="G1330" s="121" t="s">
        <v>3423</v>
      </c>
      <c r="H1330" s="12" t="s">
        <v>3425</v>
      </c>
      <c r="I1330" s="192" t="str">
        <f>IFERROR(__xludf.DUMMYFUNCTION("regexreplace(lower(C1330), ""_"", """")"),"status")</f>
        <v>status</v>
      </c>
      <c r="J1330" s="192" t="b">
        <f t="shared" ref="J1330:J1332" si="58">exact(I1330, K1330)</f>
        <v>1</v>
      </c>
      <c r="K1330" s="192" t="str">
        <f>IFERROR(__xludf.DUMMYFUNCTION("regexreplace(G1330, ""_"", """")"),"status")</f>
        <v>status</v>
      </c>
      <c r="L13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""$1$2"")"),"status")</f>
        <v>status</v>
      </c>
      <c r="M1330" s="193"/>
      <c r="N1330" s="151"/>
      <c r="O1330" s="194"/>
      <c r="P1330" s="151" t="s">
        <v>3426</v>
      </c>
      <c r="Q1330" s="151"/>
      <c r="R1330" s="207"/>
      <c r="S1330" s="207"/>
      <c r="T1330" s="193"/>
      <c r="U1330" s="193"/>
      <c r="V1330" s="193"/>
      <c r="W1330" s="193"/>
      <c r="X1330" s="193"/>
      <c r="Y1330" s="193"/>
      <c r="Z1330" s="193"/>
    </row>
    <row r="1331">
      <c r="A1331" s="329"/>
      <c r="B1331" s="329" t="s">
        <v>3422</v>
      </c>
      <c r="C1331" s="154" t="s">
        <v>3427</v>
      </c>
      <c r="D1331" s="154" t="s">
        <v>26</v>
      </c>
      <c r="E1331" s="151" t="s">
        <v>3428</v>
      </c>
      <c r="F1331" s="123">
        <f t="shared" si="1"/>
        <v>1</v>
      </c>
      <c r="G1331" s="121" t="s">
        <v>3429</v>
      </c>
      <c r="H1331" s="12" t="s">
        <v>3430</v>
      </c>
      <c r="I1331" s="192" t="str">
        <f>IFERROR(__xludf.DUMMYFUNCTION("regexreplace(lower(C1331), ""_"", """")"),"statusdate")</f>
        <v>statusdate</v>
      </c>
      <c r="J1331" s="192" t="b">
        <f t="shared" si="58"/>
        <v>1</v>
      </c>
      <c r="K1331" s="192" t="str">
        <f>IFERROR(__xludf.DUMMYFUNCTION("regexreplace(G1331, ""_"", """")"),"statusdate")</f>
        <v>statusdate</v>
      </c>
      <c r="L13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""$1$2"")"),"status_date")</f>
        <v>status_date</v>
      </c>
      <c r="M1331" s="193"/>
      <c r="N1331" s="151"/>
      <c r="O1331" s="193"/>
      <c r="P1331" s="151"/>
      <c r="Q1331" s="151" t="s">
        <v>3431</v>
      </c>
      <c r="R1331" s="207"/>
      <c r="S1331" s="207"/>
      <c r="T1331" s="193"/>
      <c r="U1331" s="193"/>
      <c r="V1331" s="193"/>
      <c r="W1331" s="193"/>
      <c r="X1331" s="193"/>
      <c r="Y1331" s="193"/>
      <c r="Z1331" s="193"/>
    </row>
    <row r="1332">
      <c r="A1332" s="193"/>
      <c r="B1332" s="329" t="s">
        <v>3422</v>
      </c>
      <c r="C1332" s="154" t="s">
        <v>3432</v>
      </c>
      <c r="D1332" s="154" t="s">
        <v>3423</v>
      </c>
      <c r="E1332" s="151" t="s">
        <v>3433</v>
      </c>
      <c r="F1332" s="123">
        <f t="shared" si="1"/>
        <v>2</v>
      </c>
      <c r="G1332" s="121" t="s">
        <v>3434</v>
      </c>
      <c r="H1332" s="12"/>
      <c r="I1332" s="192" t="str">
        <f>IFERROR(__xludf.DUMMYFUNCTION("regexreplace(lower(C1332), ""_"", """")"),"dischargestatus")</f>
        <v>dischargestatus</v>
      </c>
      <c r="J1332" s="192" t="b">
        <f t="shared" si="58"/>
        <v>1</v>
      </c>
      <c r="K1332" s="192" t="str">
        <f>IFERROR(__xludf.DUMMYFUNCTION("regexreplace(G1332, ""_"", """")"),"dischargestatus")</f>
        <v>dischargestatus</v>
      </c>
      <c r="L13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""$1$2"")"),"discharge_status")</f>
        <v>discharge_status</v>
      </c>
      <c r="M1332" s="193"/>
      <c r="N1332" s="151"/>
      <c r="O1332" s="193"/>
      <c r="P1332" s="151" t="s">
        <v>3435</v>
      </c>
      <c r="Q1332" s="151" t="s">
        <v>3436</v>
      </c>
      <c r="R1332" s="207"/>
      <c r="S1332" s="207"/>
      <c r="T1332" s="193"/>
      <c r="U1332" s="193"/>
      <c r="V1332" s="193"/>
      <c r="W1332" s="193"/>
      <c r="X1332" s="193"/>
      <c r="Y1332" s="193"/>
      <c r="Z1332" s="193"/>
    </row>
    <row r="1333">
      <c r="A1333" s="329"/>
      <c r="B1333" s="329" t="s">
        <v>3422</v>
      </c>
      <c r="C1333" s="154" t="s">
        <v>8391</v>
      </c>
      <c r="D1333" s="154"/>
      <c r="E1333" s="151" t="s">
        <v>8392</v>
      </c>
      <c r="F1333" s="123">
        <f t="shared" si="1"/>
        <v>1</v>
      </c>
      <c r="G1333" s="121"/>
      <c r="H1333" s="12"/>
      <c r="I1333" s="192"/>
      <c r="J1333" s="192"/>
      <c r="K1333" s="192"/>
      <c r="L1333" s="121"/>
      <c r="M1333" s="193"/>
      <c r="N1333" s="151"/>
      <c r="O1333" s="193"/>
      <c r="P1333" s="151"/>
      <c r="Q1333" s="151"/>
      <c r="R1333" s="151" t="s">
        <v>8393</v>
      </c>
      <c r="S1333" s="207"/>
      <c r="T1333" s="193"/>
      <c r="U1333" s="193"/>
      <c r="V1333" s="193"/>
      <c r="W1333" s="193"/>
      <c r="X1333" s="193"/>
      <c r="Y1333" s="193"/>
      <c r="Z1333" s="193"/>
    </row>
    <row r="1334">
      <c r="A1334" s="329"/>
      <c r="B1334" s="329" t="s">
        <v>3422</v>
      </c>
      <c r="C1334" s="154" t="s">
        <v>3437</v>
      </c>
      <c r="D1334" s="154" t="s">
        <v>26</v>
      </c>
      <c r="E1334" s="151" t="s">
        <v>3438</v>
      </c>
      <c r="F1334" s="123">
        <f t="shared" si="1"/>
        <v>2</v>
      </c>
      <c r="G1334" s="121" t="s">
        <v>3439</v>
      </c>
      <c r="H1334" s="12"/>
      <c r="I1334" s="192" t="str">
        <f>IFERROR(__xludf.DUMMYFUNCTION("regexreplace(lower(C1334), ""_"", """")"),"dischargedate")</f>
        <v>dischargedate</v>
      </c>
      <c r="J1334" s="192" t="b">
        <f t="shared" ref="J1334:J1358" si="59">exact(I1334, K1334)</f>
        <v>1</v>
      </c>
      <c r="K1334" s="192" t="str">
        <f>IFERROR(__xludf.DUMMYFUNCTION("regexreplace(G1334, ""_"", """")"),"dischargedate")</f>
        <v>dischargedate</v>
      </c>
      <c r="L13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""$1$2"")"),"discharge_date")</f>
        <v>discharge_date</v>
      </c>
      <c r="M1334" s="193"/>
      <c r="N1334" s="151" t="s">
        <v>8394</v>
      </c>
      <c r="O1334" s="193"/>
      <c r="P1334" s="151" t="s">
        <v>3440</v>
      </c>
      <c r="Q1334" s="151" t="s">
        <v>3441</v>
      </c>
      <c r="R1334" s="207"/>
      <c r="S1334" s="207"/>
      <c r="T1334" s="193"/>
      <c r="U1334" s="193"/>
      <c r="V1334" s="193"/>
      <c r="W1334" s="193"/>
      <c r="X1334" s="193"/>
      <c r="Y1334" s="193"/>
      <c r="Z1334" s="193"/>
    </row>
    <row r="1335">
      <c r="A1335" s="329"/>
      <c r="B1335" s="329" t="s">
        <v>3422</v>
      </c>
      <c r="C1335" s="154" t="s">
        <v>3442</v>
      </c>
      <c r="D1335" s="154" t="s">
        <v>483</v>
      </c>
      <c r="E1335" s="151" t="s">
        <v>3443</v>
      </c>
      <c r="F1335" s="123">
        <f t="shared" si="1"/>
        <v>2</v>
      </c>
      <c r="G1335" s="121" t="s">
        <v>3444</v>
      </c>
      <c r="H1335" s="12"/>
      <c r="I1335" s="192" t="str">
        <f>IFERROR(__xludf.DUMMYFUNCTION("regexreplace(lower(C1335), ""_"", """")"),"dischargeweightg")</f>
        <v>dischargeweightg</v>
      </c>
      <c r="J1335" s="192" t="b">
        <f t="shared" si="59"/>
        <v>1</v>
      </c>
      <c r="K1335" s="192" t="str">
        <f>IFERROR(__xludf.DUMMYFUNCTION("regexreplace(G1335, ""_"", """")"),"dischargeweightg")</f>
        <v>dischargeweightg</v>
      </c>
      <c r="L13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""$1$2"")"),"discharge_weight_g")</f>
        <v>discharge_weight_g</v>
      </c>
      <c r="M1335" s="193"/>
      <c r="N1335" s="151"/>
      <c r="O1335" s="193"/>
      <c r="P1335" s="151" t="s">
        <v>3445</v>
      </c>
      <c r="Q1335" s="151" t="s">
        <v>3446</v>
      </c>
      <c r="R1335" s="207"/>
      <c r="S1335" s="207"/>
      <c r="T1335" s="193"/>
      <c r="U1335" s="193"/>
      <c r="V1335" s="193"/>
      <c r="W1335" s="193"/>
      <c r="X1335" s="193"/>
      <c r="Y1335" s="193"/>
      <c r="Z1335" s="193"/>
    </row>
    <row r="1336">
      <c r="A1336" s="329"/>
      <c r="B1336" s="329" t="s">
        <v>3422</v>
      </c>
      <c r="C1336" s="154" t="s">
        <v>3447</v>
      </c>
      <c r="D1336" s="154" t="s">
        <v>483</v>
      </c>
      <c r="E1336" s="151" t="s">
        <v>3448</v>
      </c>
      <c r="F1336" s="123">
        <f t="shared" si="1"/>
        <v>2</v>
      </c>
      <c r="G1336" s="121" t="s">
        <v>3449</v>
      </c>
      <c r="H1336" s="12"/>
      <c r="I1336" s="192" t="str">
        <f>IFERROR(__xludf.DUMMYFUNCTION("regexreplace(lower(C1336), ""_"", """")"),"dischargelengthcm")</f>
        <v>dischargelengthcm</v>
      </c>
      <c r="J1336" s="192" t="b">
        <f t="shared" si="59"/>
        <v>1</v>
      </c>
      <c r="K1336" s="192" t="str">
        <f>IFERROR(__xludf.DUMMYFUNCTION("regexreplace(G1336, ""_"", """")"),"dischargelengthcm")</f>
        <v>dischargelengthcm</v>
      </c>
      <c r="L13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""$1$2"")"),"discharge_length_cm")</f>
        <v>discharge_length_cm</v>
      </c>
      <c r="M1336" s="193"/>
      <c r="N1336" s="194"/>
      <c r="O1336" s="193"/>
      <c r="P1336" s="151" t="s">
        <v>3450</v>
      </c>
      <c r="Q1336" s="151" t="s">
        <v>3451</v>
      </c>
      <c r="R1336" s="207"/>
      <c r="S1336" s="207"/>
      <c r="T1336" s="193"/>
      <c r="U1336" s="193"/>
      <c r="V1336" s="193"/>
      <c r="W1336" s="193"/>
      <c r="X1336" s="193"/>
      <c r="Y1336" s="193"/>
      <c r="Z1336" s="193"/>
    </row>
    <row r="1337">
      <c r="A1337" s="329"/>
      <c r="B1337" s="329" t="s">
        <v>3422</v>
      </c>
      <c r="C1337" s="154" t="s">
        <v>3452</v>
      </c>
      <c r="D1337" s="154" t="s">
        <v>483</v>
      </c>
      <c r="E1337" s="151" t="s">
        <v>3453</v>
      </c>
      <c r="F1337" s="123">
        <f t="shared" si="1"/>
        <v>2</v>
      </c>
      <c r="G1337" s="121" t="s">
        <v>3454</v>
      </c>
      <c r="H1337" s="12"/>
      <c r="I1337" s="192" t="str">
        <f>IFERROR(__xludf.DUMMYFUNCTION("regexreplace(lower(C1337), ""_"", """")"),"dischargeheadcircumferencecm")</f>
        <v>dischargeheadcircumferencecm</v>
      </c>
      <c r="J1337" s="192" t="b">
        <f t="shared" si="59"/>
        <v>1</v>
      </c>
      <c r="K1337" s="192" t="str">
        <f>IFERROR(__xludf.DUMMYFUNCTION("regexreplace(G1337, ""_"", """")"),"dischargeheadcircumferencecm")</f>
        <v>dischargeheadcircumferencecm</v>
      </c>
      <c r="L13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""$1$2"")"),"discharge_head_circumference_cm")</f>
        <v>discharge_head_circumference_cm</v>
      </c>
      <c r="M1337" s="193"/>
      <c r="N1337" s="151"/>
      <c r="O1337" s="193"/>
      <c r="P1337" s="151" t="s">
        <v>3455</v>
      </c>
      <c r="Q1337" s="151" t="s">
        <v>3456</v>
      </c>
      <c r="R1337" s="207"/>
      <c r="S1337" s="207"/>
      <c r="T1337" s="193"/>
      <c r="U1337" s="193"/>
      <c r="V1337" s="193"/>
      <c r="W1337" s="193"/>
      <c r="X1337" s="193"/>
      <c r="Y1337" s="193"/>
      <c r="Z1337" s="193"/>
    </row>
    <row r="1338">
      <c r="A1338" s="329"/>
      <c r="B1338" s="329" t="s">
        <v>3422</v>
      </c>
      <c r="C1338" s="154" t="s">
        <v>3457</v>
      </c>
      <c r="D1338" s="154" t="s">
        <v>3457</v>
      </c>
      <c r="E1338" s="151" t="s">
        <v>3458</v>
      </c>
      <c r="F1338" s="123">
        <f t="shared" si="1"/>
        <v>2</v>
      </c>
      <c r="G1338" s="121" t="s">
        <v>3459</v>
      </c>
      <c r="H1338" s="12"/>
      <c r="I1338" s="192" t="str">
        <f>IFERROR(__xludf.DUMMYFUNCTION("regexreplace(lower(C1338), ""_"", """")"),"transferreason")</f>
        <v>transferreason</v>
      </c>
      <c r="J1338" s="192" t="b">
        <f t="shared" si="59"/>
        <v>1</v>
      </c>
      <c r="K1338" s="192" t="str">
        <f>IFERROR(__xludf.DUMMYFUNCTION("regexreplace(G1338, ""_"", """")"),"transferreason")</f>
        <v>transferreason</v>
      </c>
      <c r="L13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""$1$2"")"),"transfer_reason")</f>
        <v>transfer_reason</v>
      </c>
      <c r="M1338" s="193"/>
      <c r="N1338" s="151"/>
      <c r="O1338" s="193"/>
      <c r="P1338" s="151" t="s">
        <v>3460</v>
      </c>
      <c r="Q1338" s="151" t="s">
        <v>3461</v>
      </c>
      <c r="R1338" s="207"/>
      <c r="S1338" s="207"/>
      <c r="T1338" s="193"/>
      <c r="U1338" s="193"/>
      <c r="V1338" s="193"/>
      <c r="W1338" s="193"/>
      <c r="X1338" s="193"/>
      <c r="Y1338" s="193"/>
      <c r="Z1338" s="193"/>
    </row>
    <row r="1339">
      <c r="A1339" s="329"/>
      <c r="B1339" s="329" t="s">
        <v>3422</v>
      </c>
      <c r="C1339" s="154" t="s">
        <v>3462</v>
      </c>
      <c r="D1339" s="154" t="s">
        <v>26</v>
      </c>
      <c r="E1339" s="151" t="s">
        <v>3463</v>
      </c>
      <c r="F1339" s="123">
        <f t="shared" si="1"/>
        <v>1</v>
      </c>
      <c r="G1339" s="121" t="s">
        <v>3464</v>
      </c>
      <c r="I1339" s="192" t="str">
        <f>IFERROR(__xludf.DUMMYFUNCTION("regexreplace(lower(C1339), ""_"", """")"),"transferdate")</f>
        <v>transferdate</v>
      </c>
      <c r="J1339" s="192" t="b">
        <f t="shared" si="59"/>
        <v>1</v>
      </c>
      <c r="K1339" s="192" t="str">
        <f>IFERROR(__xludf.DUMMYFUNCTION("regexreplace(G1339, ""_"", """")"),"transferdate")</f>
        <v>transferdate</v>
      </c>
      <c r="L13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1339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""$1$2"")"),"transfer_date")</f>
        <v>transfer_date</v>
      </c>
      <c r="M1339" s="193"/>
      <c r="N1339" s="151" t="s">
        <v>8394</v>
      </c>
      <c r="O1339" s="193"/>
      <c r="P1339" s="151" t="s">
        <v>3465</v>
      </c>
      <c r="Q1339" s="151"/>
      <c r="R1339" s="207"/>
      <c r="S1339" s="207"/>
      <c r="T1339" s="193"/>
      <c r="U1339" s="193"/>
      <c r="V1339" s="193"/>
      <c r="W1339" s="193"/>
      <c r="X1339" s="193"/>
      <c r="Y1339" s="193"/>
      <c r="Z1339" s="193"/>
    </row>
    <row r="1340">
      <c r="A1340" s="329"/>
      <c r="B1340" s="329" t="s">
        <v>3422</v>
      </c>
      <c r="C1340" s="154" t="s">
        <v>3466</v>
      </c>
      <c r="D1340" s="154" t="s">
        <v>483</v>
      </c>
      <c r="E1340" s="151" t="s">
        <v>3467</v>
      </c>
      <c r="F1340" s="123">
        <f t="shared" si="1"/>
        <v>1</v>
      </c>
      <c r="G1340" s="121" t="s">
        <v>3468</v>
      </c>
      <c r="H1340" s="12" t="s">
        <v>3469</v>
      </c>
      <c r="I1340" s="192" t="str">
        <f>IFERROR(__xludf.DUMMYFUNCTION("regexreplace(lower(C1340), ""_"", """")"),"transferweightg")</f>
        <v>transferweightg</v>
      </c>
      <c r="J1340" s="192" t="b">
        <f t="shared" si="59"/>
        <v>1</v>
      </c>
      <c r="K1340" s="192" t="str">
        <f>IFERROR(__xludf.DUMMYFUNCTION("regexreplace(G1340, ""_"", """")"),"transferweightg")</f>
        <v>transferweightg</v>
      </c>
      <c r="L13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""$1$2"")"),"transfer_weight_g")</f>
        <v>transfer_weight_g</v>
      </c>
      <c r="M1340" s="193"/>
      <c r="N1340" s="151" t="s">
        <v>8395</v>
      </c>
      <c r="O1340" s="193"/>
      <c r="P1340" s="151" t="s">
        <v>3470</v>
      </c>
      <c r="Q1340" s="151"/>
      <c r="R1340" s="207"/>
      <c r="S1340" s="207"/>
      <c r="T1340" s="193"/>
      <c r="U1340" s="193"/>
      <c r="V1340" s="193"/>
      <c r="W1340" s="193"/>
      <c r="X1340" s="193"/>
      <c r="Y1340" s="193"/>
      <c r="Z1340" s="193"/>
    </row>
    <row r="1341">
      <c r="A1341" s="329"/>
      <c r="B1341" s="329" t="s">
        <v>3422</v>
      </c>
      <c r="C1341" s="154" t="s">
        <v>3471</v>
      </c>
      <c r="D1341" s="154" t="s">
        <v>483</v>
      </c>
      <c r="E1341" s="151" t="s">
        <v>3472</v>
      </c>
      <c r="F1341" s="123">
        <f t="shared" si="1"/>
        <v>1</v>
      </c>
      <c r="G1341" s="121" t="s">
        <v>3473</v>
      </c>
      <c r="H1341" s="12" t="s">
        <v>3474</v>
      </c>
      <c r="I1341" s="192" t="str">
        <f>IFERROR(__xludf.DUMMYFUNCTION("regexreplace(lower(C1341), ""_"", """")"),"transferlengthcm")</f>
        <v>transferlengthcm</v>
      </c>
      <c r="J1341" s="192" t="b">
        <f t="shared" si="59"/>
        <v>1</v>
      </c>
      <c r="K1341" s="192" t="str">
        <f>IFERROR(__xludf.DUMMYFUNCTION("regexreplace(G1341, ""_"", """")"),"transferlengthcm")</f>
        <v>transferlengthcm</v>
      </c>
      <c r="L13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""$1$2"")"),"transfer_length_cm")</f>
        <v>transfer_length_cm</v>
      </c>
      <c r="M1341" s="193"/>
      <c r="N1341" s="194" t="s">
        <v>8396</v>
      </c>
      <c r="O1341" s="193"/>
      <c r="P1341" s="151" t="s">
        <v>3475</v>
      </c>
      <c r="Q1341" s="151"/>
      <c r="R1341" s="207"/>
      <c r="S1341" s="207"/>
      <c r="T1341" s="193"/>
      <c r="U1341" s="193"/>
      <c r="V1341" s="193"/>
      <c r="W1341" s="193"/>
      <c r="X1341" s="193"/>
      <c r="Y1341" s="193"/>
      <c r="Z1341" s="193"/>
    </row>
    <row r="1342">
      <c r="A1342" s="329"/>
      <c r="B1342" s="329" t="s">
        <v>3422</v>
      </c>
      <c r="C1342" s="154" t="s">
        <v>3476</v>
      </c>
      <c r="D1342" s="154" t="s">
        <v>483</v>
      </c>
      <c r="E1342" s="151" t="s">
        <v>3477</v>
      </c>
      <c r="F1342" s="123">
        <f t="shared" si="1"/>
        <v>1</v>
      </c>
      <c r="G1342" s="121" t="s">
        <v>3478</v>
      </c>
      <c r="H1342" s="12" t="s">
        <v>3479</v>
      </c>
      <c r="I1342" s="192" t="str">
        <f>IFERROR(__xludf.DUMMYFUNCTION("regexreplace(lower(C1342), ""_"", """")"),"transferheadcircumferencecm")</f>
        <v>transferheadcircumferencecm</v>
      </c>
      <c r="J1342" s="192" t="b">
        <f t="shared" si="59"/>
        <v>1</v>
      </c>
      <c r="K1342" s="192" t="str">
        <f>IFERROR(__xludf.DUMMYFUNCTION("regexreplace(G1342, ""_"", """")"),"transferheadcircumferencecm")</f>
        <v>transferheadcircumferencecm</v>
      </c>
      <c r="L13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""$1$2"")"),"transfer_head_circumference_cm")</f>
        <v>transfer_head_circumference_cm</v>
      </c>
      <c r="M1342" s="193"/>
      <c r="N1342" s="151"/>
      <c r="O1342" s="193"/>
      <c r="P1342" s="151" t="s">
        <v>3480</v>
      </c>
      <c r="Q1342" s="151"/>
      <c r="R1342" s="207"/>
      <c r="S1342" s="207"/>
      <c r="T1342" s="193"/>
      <c r="U1342" s="193"/>
      <c r="V1342" s="193"/>
      <c r="W1342" s="193"/>
      <c r="X1342" s="193"/>
      <c r="Y1342" s="193"/>
      <c r="Z1342" s="193"/>
    </row>
    <row r="1343">
      <c r="A1343" s="329"/>
      <c r="B1343" s="329" t="s">
        <v>3422</v>
      </c>
      <c r="C1343" s="154" t="s">
        <v>3481</v>
      </c>
      <c r="D1343" s="154" t="s">
        <v>3481</v>
      </c>
      <c r="E1343" s="151" t="s">
        <v>3482</v>
      </c>
      <c r="F1343" s="123">
        <f t="shared" si="1"/>
        <v>2</v>
      </c>
      <c r="G1343" s="121" t="s">
        <v>3483</v>
      </c>
      <c r="H1343" s="12"/>
      <c r="I1343" s="192" t="str">
        <f>IFERROR(__xludf.DUMMYFUNCTION("regexreplace(lower(C1343), ""_"", """")"),"transferoutcome")</f>
        <v>transferoutcome</v>
      </c>
      <c r="J1343" s="192" t="b">
        <f t="shared" si="59"/>
        <v>1</v>
      </c>
      <c r="K1343" s="192" t="str">
        <f>IFERROR(__xludf.DUMMYFUNCTION("regexreplace(G1343, ""_"", """")"),"transferoutcome")</f>
        <v>transferoutcome</v>
      </c>
      <c r="L13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""$1$2"")"),"transfer_outcome")</f>
        <v>transfer_outcome</v>
      </c>
      <c r="M1343" s="193"/>
      <c r="N1343" s="151"/>
      <c r="O1343" s="193"/>
      <c r="P1343" s="151" t="s">
        <v>3484</v>
      </c>
      <c r="Q1343" s="151" t="s">
        <v>3485</v>
      </c>
      <c r="R1343" s="207"/>
      <c r="S1343" s="207"/>
      <c r="T1343" s="193"/>
      <c r="U1343" s="193"/>
      <c r="V1343" s="193"/>
      <c r="W1343" s="193"/>
      <c r="X1343" s="193"/>
      <c r="Y1343" s="193"/>
      <c r="Z1343" s="193"/>
    </row>
    <row r="1344">
      <c r="A1344" s="329"/>
      <c r="B1344" s="329" t="s">
        <v>3422</v>
      </c>
      <c r="C1344" s="154" t="s">
        <v>3486</v>
      </c>
      <c r="D1344" s="154" t="s">
        <v>40</v>
      </c>
      <c r="E1344" s="151" t="s">
        <v>3487</v>
      </c>
      <c r="F1344" s="123">
        <f t="shared" si="1"/>
        <v>1</v>
      </c>
      <c r="G1344" s="121" t="s">
        <v>3488</v>
      </c>
      <c r="H1344" s="12" t="s">
        <v>3489</v>
      </c>
      <c r="I1344" s="192" t="str">
        <f>IFERROR(__xludf.DUMMYFUNCTION("regexreplace(lower(C1344), ""_"", """")"),"hometherapystatus")</f>
        <v>hometherapystatus</v>
      </c>
      <c r="J1344" s="192" t="b">
        <f t="shared" si="59"/>
        <v>1</v>
      </c>
      <c r="K1344" s="192" t="str">
        <f>IFERROR(__xludf.DUMMYFUNCTION("regexreplace(G1344, ""_"", """")"),"hometherapystatus")</f>
        <v>hometherapystatus</v>
      </c>
      <c r="L13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""$1$2"")"),"home_therapy_status")</f>
        <v>home_therapy_status</v>
      </c>
      <c r="M1344" s="193"/>
      <c r="N1344" s="151"/>
      <c r="O1344" s="193"/>
      <c r="P1344" s="151" t="s">
        <v>3490</v>
      </c>
      <c r="Q1344" s="151"/>
      <c r="R1344" s="207"/>
      <c r="S1344" s="207"/>
      <c r="T1344" s="193"/>
      <c r="U1344" s="193"/>
      <c r="V1344" s="193"/>
      <c r="W1344" s="193"/>
      <c r="X1344" s="193"/>
      <c r="Y1344" s="193"/>
      <c r="Z1344" s="193"/>
    </row>
    <row r="1345">
      <c r="A1345" s="329"/>
      <c r="B1345" s="329" t="s">
        <v>3422</v>
      </c>
      <c r="C1345" s="154" t="s">
        <v>3491</v>
      </c>
      <c r="D1345" s="154" t="s">
        <v>40</v>
      </c>
      <c r="E1345" s="151" t="s">
        <v>3492</v>
      </c>
      <c r="F1345" s="123">
        <f t="shared" si="1"/>
        <v>1</v>
      </c>
      <c r="G1345" s="121" t="s">
        <v>3493</v>
      </c>
      <c r="H1345" s="12" t="s">
        <v>3489</v>
      </c>
      <c r="I1345" s="192" t="str">
        <f>IFERROR(__xludf.DUMMYFUNCTION("regexreplace(lower(C1345), ""_"", """")"),"hometherapyventilator")</f>
        <v>hometherapyventilator</v>
      </c>
      <c r="J1345" s="192" t="b">
        <f t="shared" si="59"/>
        <v>1</v>
      </c>
      <c r="K1345" s="192" t="str">
        <f>IFERROR(__xludf.DUMMYFUNCTION("regexreplace(G1345, ""_"", """")"),"hometherapyventilator")</f>
        <v>hometherapyventilator</v>
      </c>
      <c r="L13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""$1$2"")"),"home_therapy_ventilator")</f>
        <v>home_therapy_ventilator</v>
      </c>
      <c r="M1345" s="193"/>
      <c r="N1345" s="151"/>
      <c r="O1345" s="193"/>
      <c r="P1345" s="151" t="s">
        <v>3494</v>
      </c>
      <c r="Q1345" s="151"/>
      <c r="R1345" s="207"/>
      <c r="S1345" s="207"/>
      <c r="T1345" s="193"/>
      <c r="U1345" s="193"/>
      <c r="V1345" s="193"/>
      <c r="W1345" s="193"/>
      <c r="X1345" s="193"/>
      <c r="Y1345" s="193"/>
      <c r="Z1345" s="193"/>
    </row>
    <row r="1346">
      <c r="A1346" s="329"/>
      <c r="B1346" s="329" t="s">
        <v>3422</v>
      </c>
      <c r="C1346" s="154" t="s">
        <v>3495</v>
      </c>
      <c r="D1346" s="154" t="s">
        <v>40</v>
      </c>
      <c r="E1346" s="151" t="s">
        <v>3496</v>
      </c>
      <c r="F1346" s="123">
        <f t="shared" si="1"/>
        <v>1</v>
      </c>
      <c r="G1346" s="121" t="s">
        <v>3497</v>
      </c>
      <c r="H1346" s="12" t="s">
        <v>3489</v>
      </c>
      <c r="I1346" s="192" t="str">
        <f>IFERROR(__xludf.DUMMYFUNCTION("regexreplace(lower(C1346), ""_"", """")"),"hometherapyoxygen")</f>
        <v>hometherapyoxygen</v>
      </c>
      <c r="J1346" s="192" t="b">
        <f t="shared" si="59"/>
        <v>1</v>
      </c>
      <c r="K1346" s="192" t="str">
        <f>IFERROR(__xludf.DUMMYFUNCTION("regexreplace(G1346, ""_"", """")"),"hometherapyoxygen")</f>
        <v>hometherapyoxygen</v>
      </c>
      <c r="L13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""$1$2"")"),"home_therapy_oxygen")</f>
        <v>home_therapy_oxygen</v>
      </c>
      <c r="M1346" s="193"/>
      <c r="N1346" s="151"/>
      <c r="O1346" s="193"/>
      <c r="P1346" s="151" t="s">
        <v>3498</v>
      </c>
      <c r="Q1346" s="151"/>
      <c r="R1346" s="207"/>
      <c r="S1346" s="207"/>
      <c r="T1346" s="193"/>
      <c r="U1346" s="193"/>
      <c r="V1346" s="193"/>
      <c r="W1346" s="193"/>
      <c r="X1346" s="193"/>
      <c r="Y1346" s="193"/>
      <c r="Z1346" s="193"/>
    </row>
    <row r="1347">
      <c r="A1347" s="329"/>
      <c r="B1347" s="329" t="s">
        <v>3422</v>
      </c>
      <c r="C1347" s="154" t="s">
        <v>3499</v>
      </c>
      <c r="D1347" s="154" t="s">
        <v>40</v>
      </c>
      <c r="E1347" s="151" t="s">
        <v>3500</v>
      </c>
      <c r="F1347" s="123">
        <f t="shared" si="1"/>
        <v>1</v>
      </c>
      <c r="G1347" s="121" t="s">
        <v>3501</v>
      </c>
      <c r="H1347" s="12" t="s">
        <v>3489</v>
      </c>
      <c r="I1347" s="192" t="str">
        <f>IFERROR(__xludf.DUMMYFUNCTION("regexreplace(lower(C1347), ""_"", """")"),"hometherapygavagetubefeed")</f>
        <v>hometherapygavagetubefeed</v>
      </c>
      <c r="J1347" s="192" t="b">
        <f t="shared" si="59"/>
        <v>1</v>
      </c>
      <c r="K1347" s="192" t="str">
        <f>IFERROR(__xludf.DUMMYFUNCTION("regexreplace(G1347, ""_"", """")"),"hometherapygavagetubefeed")</f>
        <v>hometherapygavagetubefeed</v>
      </c>
      <c r="L13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""$1$2"")"),"home_therapy_gavage_tube_feed")</f>
        <v>home_therapy_gavage_tube_feed</v>
      </c>
      <c r="M1347" s="193"/>
      <c r="N1347" s="151"/>
      <c r="O1347" s="193"/>
      <c r="P1347" s="151" t="s">
        <v>3502</v>
      </c>
      <c r="Q1347" s="151"/>
      <c r="R1347" s="207"/>
      <c r="S1347" s="207"/>
      <c r="T1347" s="193"/>
      <c r="U1347" s="193"/>
      <c r="V1347" s="193"/>
      <c r="W1347" s="193"/>
      <c r="X1347" s="193"/>
      <c r="Y1347" s="193"/>
      <c r="Z1347" s="193"/>
    </row>
    <row r="1348">
      <c r="A1348" s="329"/>
      <c r="B1348" s="329" t="s">
        <v>3422</v>
      </c>
      <c r="C1348" s="154" t="s">
        <v>3503</v>
      </c>
      <c r="D1348" s="154" t="s">
        <v>40</v>
      </c>
      <c r="E1348" s="151" t="s">
        <v>3504</v>
      </c>
      <c r="F1348" s="123">
        <f t="shared" si="1"/>
        <v>1</v>
      </c>
      <c r="G1348" s="121" t="s">
        <v>3505</v>
      </c>
      <c r="H1348" s="12" t="s">
        <v>3489</v>
      </c>
      <c r="I1348" s="192" t="str">
        <f>IFERROR(__xludf.DUMMYFUNCTION("regexreplace(lower(C1348), ""_"", """")"),"hometherapygastrostomytubefeed")</f>
        <v>hometherapygastrostomytubefeed</v>
      </c>
      <c r="J1348" s="192" t="b">
        <f t="shared" si="59"/>
        <v>1</v>
      </c>
      <c r="K1348" s="192" t="str">
        <f>IFERROR(__xludf.DUMMYFUNCTION("regexreplace(G1348, ""_"", """")"),"hometherapygastrostomytubefeed")</f>
        <v>hometherapygastrostomytubefeed</v>
      </c>
      <c r="L13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""$1$2"")"),"home_therapy_gastrostomy_tube_feed")</f>
        <v>home_therapy_gastrostomy_tube_feed</v>
      </c>
      <c r="M1348" s="193"/>
      <c r="N1348" s="151"/>
      <c r="O1348" s="193"/>
      <c r="P1348" s="151" t="s">
        <v>3506</v>
      </c>
      <c r="Q1348" s="151"/>
      <c r="R1348" s="207"/>
      <c r="S1348" s="207"/>
      <c r="T1348" s="193"/>
      <c r="U1348" s="193"/>
      <c r="V1348" s="193"/>
      <c r="W1348" s="193"/>
      <c r="X1348" s="193"/>
      <c r="Y1348" s="193"/>
      <c r="Z1348" s="193"/>
    </row>
    <row r="1349">
      <c r="A1349" s="329"/>
      <c r="B1349" s="329" t="s">
        <v>3422</v>
      </c>
      <c r="C1349" s="154" t="s">
        <v>3507</v>
      </c>
      <c r="D1349" s="154" t="s">
        <v>40</v>
      </c>
      <c r="E1349" s="151" t="s">
        <v>3508</v>
      </c>
      <c r="F1349" s="123">
        <f t="shared" si="1"/>
        <v>1</v>
      </c>
      <c r="G1349" s="121" t="s">
        <v>3509</v>
      </c>
      <c r="H1349" s="12" t="s">
        <v>3489</v>
      </c>
      <c r="I1349" s="192" t="str">
        <f>IFERROR(__xludf.DUMMYFUNCTION("regexreplace(lower(C1349), ""_"", """")"),"hometherapytemperatureblanket")</f>
        <v>hometherapytemperatureblanket</v>
      </c>
      <c r="J1349" s="192" t="b">
        <f t="shared" si="59"/>
        <v>1</v>
      </c>
      <c r="K1349" s="192" t="str">
        <f>IFERROR(__xludf.DUMMYFUNCTION("regexreplace(G1349, ""_"", """")"),"hometherapytemperatureblanket")</f>
        <v>hometherapytemperatureblanket</v>
      </c>
      <c r="L13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1349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""$1$2"")"),"home_therapy_temperature_blanket")</f>
        <v>home_therapy_temperature_blanket</v>
      </c>
      <c r="M1349" s="193"/>
      <c r="N1349" s="151"/>
      <c r="O1349" s="193"/>
      <c r="P1349" s="151" t="s">
        <v>3510</v>
      </c>
      <c r="Q1349" s="151"/>
      <c r="R1349" s="207"/>
      <c r="S1349" s="207"/>
      <c r="T1349" s="193"/>
      <c r="U1349" s="193"/>
      <c r="V1349" s="193"/>
      <c r="W1349" s="193"/>
      <c r="X1349" s="193"/>
      <c r="Y1349" s="193"/>
      <c r="Z1349" s="193"/>
    </row>
    <row r="1350">
      <c r="A1350" s="329"/>
      <c r="B1350" s="329" t="s">
        <v>3422</v>
      </c>
      <c r="C1350" s="154" t="s">
        <v>3511</v>
      </c>
      <c r="D1350" s="154" t="s">
        <v>40</v>
      </c>
      <c r="E1350" s="151" t="s">
        <v>3512</v>
      </c>
      <c r="F1350" s="123">
        <f t="shared" si="1"/>
        <v>1</v>
      </c>
      <c r="G1350" s="121" t="s">
        <v>3513</v>
      </c>
      <c r="H1350" s="12" t="s">
        <v>3489</v>
      </c>
      <c r="I1350" s="192" t="str">
        <f>IFERROR(__xludf.DUMMYFUNCTION("regexreplace(lower(C1350), ""_"", """")"),"hometherapyanticonvulsantmedication")</f>
        <v>hometherapyanticonvulsantmedication</v>
      </c>
      <c r="J1350" s="192" t="b">
        <f t="shared" si="59"/>
        <v>1</v>
      </c>
      <c r="K1350" s="192" t="str">
        <f>IFERROR(__xludf.DUMMYFUNCTION("regexreplace(G1350, ""_"", """")"),"hometherapyanticonvulsantmedication")</f>
        <v>hometherapyanticonvulsantmedication</v>
      </c>
      <c r="L13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""$1$2"")"),"home_therapy_anticonvulsant_medication")</f>
        <v>home_therapy_anticonvulsant_medication</v>
      </c>
      <c r="M1350" s="193"/>
      <c r="N1350" s="151"/>
      <c r="O1350" s="193"/>
      <c r="P1350" s="151" t="s">
        <v>3514</v>
      </c>
      <c r="Q1350" s="151"/>
      <c r="R1350" s="207"/>
      <c r="S1350" s="207"/>
      <c r="T1350" s="193"/>
      <c r="U1350" s="193"/>
      <c r="V1350" s="193"/>
      <c r="W1350" s="193"/>
      <c r="X1350" s="193"/>
      <c r="Y1350" s="193"/>
      <c r="Z1350" s="193"/>
    </row>
    <row r="1351">
      <c r="A1351" s="329"/>
      <c r="B1351" s="329" t="s">
        <v>3422</v>
      </c>
      <c r="C1351" s="154" t="s">
        <v>3515</v>
      </c>
      <c r="D1351" s="154" t="s">
        <v>40</v>
      </c>
      <c r="E1351" s="151" t="s">
        <v>2567</v>
      </c>
      <c r="F1351" s="123">
        <f t="shared" si="1"/>
        <v>1</v>
      </c>
      <c r="G1351" s="121" t="s">
        <v>3516</v>
      </c>
      <c r="H1351" s="12" t="s">
        <v>3489</v>
      </c>
      <c r="I1351" s="192" t="str">
        <f>IFERROR(__xludf.DUMMYFUNCTION("regexreplace(lower(C1351), ""_"", """")"),"hometherapyother")</f>
        <v>hometherapyother</v>
      </c>
      <c r="J1351" s="192" t="b">
        <f t="shared" si="59"/>
        <v>1</v>
      </c>
      <c r="K1351" s="192" t="str">
        <f>IFERROR(__xludf.DUMMYFUNCTION("regexreplace(G1351, ""_"", """")"),"hometherapyother")</f>
        <v>hometherapyother</v>
      </c>
      <c r="L13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""$1$2"")"),"home_therapy_other")</f>
        <v>home_therapy_other</v>
      </c>
      <c r="M1351" s="193"/>
      <c r="N1351" s="151"/>
      <c r="O1351" s="193"/>
      <c r="P1351" s="151" t="s">
        <v>3517</v>
      </c>
      <c r="Q1351" s="151"/>
      <c r="R1351" s="207"/>
      <c r="S1351" s="207"/>
      <c r="T1351" s="193"/>
      <c r="U1351" s="193"/>
      <c r="V1351" s="193"/>
      <c r="W1351" s="193"/>
      <c r="X1351" s="193"/>
      <c r="Y1351" s="193"/>
      <c r="Z1351" s="193"/>
    </row>
    <row r="1352">
      <c r="A1352" s="329"/>
      <c r="B1352" s="329" t="s">
        <v>3422</v>
      </c>
      <c r="C1352" s="154" t="s">
        <v>3518</v>
      </c>
      <c r="D1352" s="154" t="s">
        <v>16</v>
      </c>
      <c r="E1352" s="151" t="s">
        <v>2572</v>
      </c>
      <c r="F1352" s="123">
        <f t="shared" si="1"/>
        <v>1</v>
      </c>
      <c r="G1352" s="121" t="s">
        <v>3519</v>
      </c>
      <c r="H1352" s="12" t="s">
        <v>3489</v>
      </c>
      <c r="I1352" s="192" t="str">
        <f>IFERROR(__xludf.DUMMYFUNCTION("regexreplace(lower(C1352), ""_"", """")"),"hometherapyothertext")</f>
        <v>hometherapyothertext</v>
      </c>
      <c r="J1352" s="192" t="b">
        <f t="shared" si="59"/>
        <v>1</v>
      </c>
      <c r="K1352" s="192" t="str">
        <f>IFERROR(__xludf.DUMMYFUNCTION("regexreplace(G1352, ""_"", """")"),"hometherapyothertext")</f>
        <v>hometherapyothertext</v>
      </c>
      <c r="L13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""$1$2"")"),"home_therapy_other_text")</f>
        <v>home_therapy_other_text</v>
      </c>
      <c r="M1352" s="193"/>
      <c r="N1352" s="151"/>
      <c r="O1352" s="193"/>
      <c r="P1352" s="151" t="s">
        <v>3520</v>
      </c>
      <c r="Q1352" s="151"/>
      <c r="R1352" s="207"/>
      <c r="S1352" s="207"/>
      <c r="T1352" s="193"/>
      <c r="U1352" s="193"/>
      <c r="V1352" s="193"/>
      <c r="W1352" s="193"/>
      <c r="X1352" s="193"/>
      <c r="Y1352" s="193"/>
      <c r="Z1352" s="193"/>
    </row>
    <row r="1353">
      <c r="A1353" s="329"/>
      <c r="B1353" s="329" t="s">
        <v>3422</v>
      </c>
      <c r="C1353" s="154" t="s">
        <v>3521</v>
      </c>
      <c r="D1353" s="154" t="s">
        <v>26</v>
      </c>
      <c r="E1353" s="151" t="s">
        <v>3522</v>
      </c>
      <c r="F1353" s="123">
        <f t="shared" si="1"/>
        <v>3</v>
      </c>
      <c r="G1353" s="121" t="s">
        <v>3523</v>
      </c>
      <c r="H1353" s="12"/>
      <c r="I1353" s="192" t="str">
        <f>IFERROR(__xludf.DUMMYFUNCTION("regexreplace(lower(C1353), ""_"", """")"),"deathdate")</f>
        <v>deathdate</v>
      </c>
      <c r="J1353" s="192" t="b">
        <f t="shared" si="59"/>
        <v>1</v>
      </c>
      <c r="K1353" s="192" t="str">
        <f>IFERROR(__xludf.DUMMYFUNCTION("regexreplace(G1353, ""_"", """")"),"deathdate")</f>
        <v>deathdate</v>
      </c>
      <c r="L13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""$1$2"")"),"death_date")</f>
        <v>death_date</v>
      </c>
      <c r="M1353" s="193"/>
      <c r="N1353" s="151" t="s">
        <v>8397</v>
      </c>
      <c r="O1353" s="194" t="s">
        <v>8398</v>
      </c>
      <c r="P1353" s="151" t="s">
        <v>3524</v>
      </c>
      <c r="Q1353" s="194" t="s">
        <v>3525</v>
      </c>
      <c r="R1353" s="207"/>
      <c r="S1353" s="207"/>
      <c r="T1353" s="193"/>
      <c r="U1353" s="193"/>
      <c r="V1353" s="193"/>
      <c r="W1353" s="193"/>
      <c r="X1353" s="193"/>
      <c r="Y1353" s="193"/>
      <c r="Z1353" s="193"/>
    </row>
    <row r="1354">
      <c r="A1354" s="329"/>
      <c r="B1354" s="329" t="s">
        <v>3422</v>
      </c>
      <c r="C1354" s="154" t="s">
        <v>3526</v>
      </c>
      <c r="D1354" s="154" t="s">
        <v>145</v>
      </c>
      <c r="E1354" s="151" t="s">
        <v>3527</v>
      </c>
      <c r="F1354" s="123">
        <f t="shared" si="1"/>
        <v>2</v>
      </c>
      <c r="G1354" s="121" t="s">
        <v>3528</v>
      </c>
      <c r="H1354" s="12"/>
      <c r="I1354" s="192" t="str">
        <f>IFERROR(__xludf.DUMMYFUNCTION("regexreplace(lower(C1354), ""_"", """")"),"deathtime")</f>
        <v>deathtime</v>
      </c>
      <c r="J1354" s="192" t="b">
        <f t="shared" si="59"/>
        <v>1</v>
      </c>
      <c r="K1354" s="192" t="str">
        <f>IFERROR(__xludf.DUMMYFUNCTION("regexreplace(G1354, ""_"", """")"),"deathtime")</f>
        <v>deathtime</v>
      </c>
      <c r="L13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""$1$2"")"),"death_time")</f>
        <v>death_time</v>
      </c>
      <c r="M1354" s="193"/>
      <c r="N1354" s="151"/>
      <c r="O1354" s="193"/>
      <c r="P1354" s="151" t="s">
        <v>3529</v>
      </c>
      <c r="Q1354" s="194" t="s">
        <v>3530</v>
      </c>
      <c r="R1354" s="207"/>
      <c r="S1354" s="207"/>
      <c r="T1354" s="193"/>
      <c r="U1354" s="193"/>
      <c r="V1354" s="193"/>
      <c r="W1354" s="193"/>
      <c r="X1354" s="193"/>
      <c r="Y1354" s="193"/>
      <c r="Z1354" s="193"/>
    </row>
    <row r="1355">
      <c r="A1355" s="329"/>
      <c r="B1355" s="329" t="s">
        <v>3422</v>
      </c>
      <c r="C1355" s="154" t="s">
        <v>3531</v>
      </c>
      <c r="D1355" s="154" t="s">
        <v>40</v>
      </c>
      <c r="E1355" s="151" t="s">
        <v>3532</v>
      </c>
      <c r="F1355" s="123">
        <f t="shared" si="1"/>
        <v>2</v>
      </c>
      <c r="G1355" s="121" t="s">
        <v>3533</v>
      </c>
      <c r="H1355" s="12"/>
      <c r="I1355" s="192" t="str">
        <f>IFERROR(__xludf.DUMMYFUNCTION("regexreplace(lower(C1355), ""_"", """")"),"deathautopsy")</f>
        <v>deathautopsy</v>
      </c>
      <c r="J1355" s="192" t="b">
        <f t="shared" si="59"/>
        <v>1</v>
      </c>
      <c r="K1355" s="192" t="str">
        <f>IFERROR(__xludf.DUMMYFUNCTION("regexreplace(G1355, ""_"", """")"),"deathautopsy")</f>
        <v>deathautopsy</v>
      </c>
      <c r="L13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""$1$2"")"),"death_autopsy")</f>
        <v>death_autopsy</v>
      </c>
      <c r="M1355" s="193"/>
      <c r="N1355" s="151"/>
      <c r="O1355" s="193"/>
      <c r="P1355" s="151" t="s">
        <v>3534</v>
      </c>
      <c r="Q1355" s="194" t="s">
        <v>3535</v>
      </c>
      <c r="R1355" s="207"/>
      <c r="S1355" s="207"/>
      <c r="T1355" s="193"/>
      <c r="U1355" s="193"/>
      <c r="V1355" s="193"/>
      <c r="W1355" s="193"/>
      <c r="X1355" s="193"/>
      <c r="Y1355" s="193"/>
      <c r="Z1355" s="193"/>
    </row>
    <row r="1356">
      <c r="A1356" s="329"/>
      <c r="B1356" s="329" t="s">
        <v>3422</v>
      </c>
      <c r="C1356" s="154" t="s">
        <v>3536</v>
      </c>
      <c r="D1356" s="154" t="s">
        <v>3536</v>
      </c>
      <c r="E1356" s="151" t="s">
        <v>3537</v>
      </c>
      <c r="F1356" s="123">
        <f t="shared" si="1"/>
        <v>2</v>
      </c>
      <c r="G1356" s="121" t="s">
        <v>3538</v>
      </c>
      <c r="H1356" s="12"/>
      <c r="I1356" s="192" t="str">
        <f>IFERROR(__xludf.DUMMYFUNCTION("regexreplace(lower(C1356), ""_"", """")"),"deathcause")</f>
        <v>deathcause</v>
      </c>
      <c r="J1356" s="192" t="b">
        <f t="shared" si="59"/>
        <v>1</v>
      </c>
      <c r="K1356" s="192" t="str">
        <f>IFERROR(__xludf.DUMMYFUNCTION("regexreplace(G1356, ""_"", """")"),"deathcause")</f>
        <v>deathcause</v>
      </c>
      <c r="L13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""$1$2"")"),"death_cause")</f>
        <v>death_cause</v>
      </c>
      <c r="M1356" s="193"/>
      <c r="N1356" s="151" t="s">
        <v>8399</v>
      </c>
      <c r="O1356" s="193"/>
      <c r="P1356" s="151" t="s">
        <v>3539</v>
      </c>
      <c r="Q1356" s="194" t="s">
        <v>3540</v>
      </c>
      <c r="R1356" s="207"/>
      <c r="S1356" s="207"/>
      <c r="T1356" s="193"/>
      <c r="U1356" s="193"/>
      <c r="V1356" s="193"/>
      <c r="W1356" s="193"/>
      <c r="X1356" s="193"/>
      <c r="Y1356" s="193"/>
      <c r="Z1356" s="193"/>
    </row>
    <row r="1357">
      <c r="A1357" s="329"/>
      <c r="B1357" s="329" t="s">
        <v>3422</v>
      </c>
      <c r="C1357" s="154" t="s">
        <v>3541</v>
      </c>
      <c r="D1357" s="154" t="s">
        <v>16</v>
      </c>
      <c r="E1357" s="151" t="s">
        <v>3542</v>
      </c>
      <c r="F1357" s="123">
        <f t="shared" si="1"/>
        <v>2</v>
      </c>
      <c r="G1357" s="121" t="s">
        <v>3543</v>
      </c>
      <c r="H1357" s="12"/>
      <c r="I1357" s="192" t="str">
        <f>IFERROR(__xludf.DUMMYFUNCTION("regexreplace(lower(C1357), ""_"", """")"),"deathcausetext")</f>
        <v>deathcausetext</v>
      </c>
      <c r="J1357" s="192" t="b">
        <f t="shared" si="59"/>
        <v>1</v>
      </c>
      <c r="K1357" s="192" t="str">
        <f>IFERROR(__xludf.DUMMYFUNCTION("regexreplace(G1357, ""_"", """")"),"deathcausetext")</f>
        <v>deathcausetext</v>
      </c>
      <c r="L13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""$1$2"")"),"death_cause_text")</f>
        <v>death_cause_text</v>
      </c>
      <c r="M1357" s="193"/>
      <c r="N1357" s="151" t="s">
        <v>8399</v>
      </c>
      <c r="O1357" s="193"/>
      <c r="P1357" s="151" t="s">
        <v>3544</v>
      </c>
      <c r="Q1357" s="194" t="s">
        <v>3545</v>
      </c>
      <c r="R1357" s="207"/>
      <c r="S1357" s="207"/>
      <c r="T1357" s="193"/>
      <c r="U1357" s="193"/>
      <c r="V1357" s="193"/>
      <c r="W1357" s="193"/>
      <c r="X1357" s="193"/>
      <c r="Y1357" s="193"/>
      <c r="Z1357" s="193"/>
    </row>
    <row r="1358">
      <c r="A1358" s="329"/>
      <c r="B1358" s="329" t="s">
        <v>3422</v>
      </c>
      <c r="C1358" s="154" t="s">
        <v>3546</v>
      </c>
      <c r="D1358" s="154" t="s">
        <v>3546</v>
      </c>
      <c r="E1358" s="151" t="s">
        <v>3547</v>
      </c>
      <c r="F1358" s="123">
        <f t="shared" si="1"/>
        <v>2</v>
      </c>
      <c r="G1358" s="121" t="s">
        <v>3548</v>
      </c>
      <c r="H1358" s="12"/>
      <c r="I1358" s="192" t="str">
        <f>IFERROR(__xludf.DUMMYFUNCTION("regexreplace(lower(C1358), ""_"", """")"),"deathsrc")</f>
        <v>deathsrc</v>
      </c>
      <c r="J1358" s="192" t="b">
        <f t="shared" si="59"/>
        <v>1</v>
      </c>
      <c r="K1358" s="192" t="str">
        <f>IFERROR(__xludf.DUMMYFUNCTION("regexreplace(G1358, ""_"", """")"),"deathsrc")</f>
        <v>deathsrc</v>
      </c>
      <c r="L13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1358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""$1$2"")"),"death_src")</f>
        <v>death_src</v>
      </c>
      <c r="M1358" s="193"/>
      <c r="N1358" s="151"/>
      <c r="O1358" s="193"/>
      <c r="P1358" s="151" t="s">
        <v>3549</v>
      </c>
      <c r="Q1358" s="194" t="s">
        <v>3550</v>
      </c>
      <c r="R1358" s="207"/>
      <c r="S1358" s="207"/>
      <c r="T1358" s="193"/>
      <c r="U1358" s="193"/>
      <c r="V1358" s="193"/>
      <c r="W1358" s="193"/>
      <c r="X1358" s="193"/>
      <c r="Y1358" s="193"/>
      <c r="Z1358" s="193"/>
    </row>
    <row r="1359">
      <c r="A1359" s="329"/>
      <c r="B1359" s="329" t="s">
        <v>3422</v>
      </c>
      <c r="C1359" s="154" t="s">
        <v>8400</v>
      </c>
      <c r="D1359" s="154"/>
      <c r="E1359" s="151" t="s">
        <v>8401</v>
      </c>
      <c r="F1359" s="123">
        <f t="shared" si="1"/>
        <v>1</v>
      </c>
      <c r="G1359" s="121"/>
      <c r="H1359" s="12"/>
      <c r="I1359" s="192"/>
      <c r="J1359" s="192"/>
      <c r="K1359" s="192"/>
      <c r="L1359" s="121"/>
      <c r="M1359" s="193"/>
      <c r="N1359" s="151"/>
      <c r="O1359" s="193"/>
      <c r="P1359" s="151"/>
      <c r="Q1359" s="194"/>
      <c r="R1359" s="151" t="s">
        <v>8402</v>
      </c>
      <c r="S1359" s="207"/>
      <c r="T1359" s="193"/>
      <c r="U1359" s="193"/>
      <c r="V1359" s="193"/>
      <c r="W1359" s="193"/>
      <c r="X1359" s="193"/>
      <c r="Y1359" s="193"/>
      <c r="Z1359" s="193"/>
    </row>
    <row r="1360">
      <c r="A1360" s="33"/>
      <c r="B1360" s="33"/>
      <c r="C1360" s="12"/>
      <c r="D1360" s="12"/>
      <c r="E1360" s="15"/>
      <c r="F1360" s="123">
        <f t="shared" si="1"/>
        <v>0</v>
      </c>
      <c r="G1360" s="12"/>
      <c r="H1360" s="12"/>
      <c r="I1360" s="12"/>
      <c r="J1360" s="12"/>
      <c r="K1360" s="12"/>
      <c r="L1360" s="12"/>
      <c r="N1360" s="40"/>
      <c r="P1360" s="40"/>
      <c r="Q1360" s="15"/>
      <c r="R1360" s="88"/>
      <c r="S1360" s="88"/>
    </row>
    <row r="1361">
      <c r="A1361" s="329" t="s">
        <v>8390</v>
      </c>
      <c r="B1361" s="189" t="s">
        <v>1150</v>
      </c>
      <c r="C1361" s="154" t="s">
        <v>3551</v>
      </c>
      <c r="D1361" s="154" t="s">
        <v>40</v>
      </c>
      <c r="E1361" s="151" t="s">
        <v>2740</v>
      </c>
      <c r="F1361" s="123">
        <f t="shared" si="1"/>
        <v>1</v>
      </c>
      <c r="G1361" s="121" t="s">
        <v>3552</v>
      </c>
      <c r="H1361" s="12"/>
      <c r="I1361" s="192" t="str">
        <f>IFERROR(__xludf.DUMMYFUNCTION("regexreplace(lower(C1361), ""_"", """")"),"dischargeneuroexam")</f>
        <v>dischargeneuroexam</v>
      </c>
      <c r="J1361" s="192" t="b">
        <f t="shared" ref="J1361:J1423" si="60">exact(I1361, K1361)</f>
        <v>1</v>
      </c>
      <c r="K1361" s="192" t="str">
        <f>IFERROR(__xludf.DUMMYFUNCTION("regexreplace(G1361, ""_"", """")"),"dischargeneuroexam")</f>
        <v>dischargeneuroexam</v>
      </c>
      <c r="L136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""$1$2"")"),"discharge_neuro_exam")</f>
        <v>discharge_neuro_exam</v>
      </c>
      <c r="M1361" s="193"/>
      <c r="N1361" s="199"/>
      <c r="O1361" s="193"/>
      <c r="P1361" s="199"/>
      <c r="Q1361" s="151" t="s">
        <v>2742</v>
      </c>
      <c r="R1361" s="207"/>
      <c r="S1361" s="207"/>
      <c r="T1361" s="193"/>
      <c r="U1361" s="193"/>
      <c r="V1361" s="193"/>
      <c r="W1361" s="193"/>
      <c r="X1361" s="193"/>
      <c r="Y1361" s="193"/>
      <c r="Z1361" s="193"/>
    </row>
    <row r="1362">
      <c r="A1362" s="193"/>
      <c r="B1362" s="189" t="s">
        <v>1150</v>
      </c>
      <c r="C1362" s="154" t="s">
        <v>3553</v>
      </c>
      <c r="D1362" s="154" t="s">
        <v>3553</v>
      </c>
      <c r="E1362" s="151" t="s">
        <v>3554</v>
      </c>
      <c r="F1362" s="123">
        <f t="shared" si="1"/>
        <v>1</v>
      </c>
      <c r="G1362" s="121" t="s">
        <v>3555</v>
      </c>
      <c r="H1362" s="12"/>
      <c r="I1362" s="192" t="str">
        <f>IFERROR(__xludf.DUMMYFUNCTION("regexreplace(lower(C1362), ""_"", """")"),"dischargeneuroexamstatus")</f>
        <v>dischargeneuroexamstatus</v>
      </c>
      <c r="J1362" s="192" t="b">
        <f t="shared" si="60"/>
        <v>1</v>
      </c>
      <c r="K1362" s="192" t="str">
        <f>IFERROR(__xludf.DUMMYFUNCTION("regexreplace(G1362, ""_"", """")"),"dischargeneuroexamstatus")</f>
        <v>dischargeneuroexamstatus</v>
      </c>
      <c r="L13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""$1$2"")"),"discharge_neuro_exam_status")</f>
        <v>discharge_neuro_exam_status</v>
      </c>
      <c r="M1362" s="193"/>
      <c r="N1362" s="199"/>
      <c r="O1362" s="193"/>
      <c r="P1362" s="199"/>
      <c r="Q1362" s="151" t="s">
        <v>3556</v>
      </c>
      <c r="R1362" s="207"/>
      <c r="S1362" s="207"/>
      <c r="T1362" s="193"/>
      <c r="U1362" s="193"/>
      <c r="V1362" s="193"/>
      <c r="W1362" s="193"/>
      <c r="X1362" s="193"/>
      <c r="Y1362" s="193"/>
      <c r="Z1362" s="193"/>
    </row>
    <row r="1363" ht="17.25" customHeight="1">
      <c r="A1363" s="329"/>
      <c r="B1363" s="189" t="s">
        <v>1150</v>
      </c>
      <c r="C1363" s="154" t="s">
        <v>3557</v>
      </c>
      <c r="D1363" s="154" t="s">
        <v>26</v>
      </c>
      <c r="E1363" s="332" t="s">
        <v>3558</v>
      </c>
      <c r="F1363" s="123">
        <f t="shared" si="1"/>
        <v>2</v>
      </c>
      <c r="G1363" s="121" t="s">
        <v>3559</v>
      </c>
      <c r="H1363" s="12"/>
      <c r="I1363" s="192" t="str">
        <f>IFERROR(__xludf.DUMMYFUNCTION("regexreplace(lower(C1363), ""_"", """")"),"dischargeneuroexamdate")</f>
        <v>dischargeneuroexamdate</v>
      </c>
      <c r="J1363" s="192" t="b">
        <f t="shared" si="60"/>
        <v>1</v>
      </c>
      <c r="K1363" s="192" t="str">
        <f>IFERROR(__xludf.DUMMYFUNCTION("regexreplace(G1363, ""_"", """")"),"dischargeneuroexamdate")</f>
        <v>dischargeneuroexamdate</v>
      </c>
      <c r="L13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""$1$2"")"),"discharge_neuro_exam_date")</f>
        <v>discharge_neuro_exam_date</v>
      </c>
      <c r="M1363" s="193"/>
      <c r="N1363" s="331" t="s">
        <v>7873</v>
      </c>
      <c r="O1363" s="193"/>
      <c r="P1363" s="202" t="s">
        <v>3560</v>
      </c>
      <c r="Q1363" s="151" t="s">
        <v>2747</v>
      </c>
      <c r="R1363" s="207"/>
      <c r="S1363" s="207"/>
      <c r="T1363" s="193"/>
      <c r="U1363" s="193"/>
      <c r="V1363" s="193"/>
      <c r="W1363" s="193"/>
      <c r="X1363" s="193"/>
      <c r="Y1363" s="193"/>
      <c r="Z1363" s="193"/>
    </row>
    <row r="1364" ht="17.25" customHeight="1">
      <c r="A1364" s="329"/>
      <c r="B1364" s="189" t="s">
        <v>1150</v>
      </c>
      <c r="C1364" s="154" t="s">
        <v>3561</v>
      </c>
      <c r="D1364" s="154" t="s">
        <v>145</v>
      </c>
      <c r="E1364" s="332" t="s">
        <v>3562</v>
      </c>
      <c r="F1364" s="123">
        <f t="shared" si="1"/>
        <v>2</v>
      </c>
      <c r="G1364" s="121" t="s">
        <v>3563</v>
      </c>
      <c r="H1364" s="12"/>
      <c r="I1364" s="192" t="str">
        <f>IFERROR(__xludf.DUMMYFUNCTION("regexreplace(lower(C1364), ""_"", """")"),"dischargeneuroexamtime")</f>
        <v>dischargeneuroexamtime</v>
      </c>
      <c r="J1364" s="192" t="b">
        <f t="shared" si="60"/>
        <v>1</v>
      </c>
      <c r="K1364" s="192" t="str">
        <f>IFERROR(__xludf.DUMMYFUNCTION("regexreplace(G1364, ""_"", """")"),"dischargeneuroexamtime")</f>
        <v>dischargeneuroexamtime</v>
      </c>
      <c r="L13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""$1$2"")"),"discharge_neuro_exam_time")</f>
        <v>discharge_neuro_exam_time</v>
      </c>
      <c r="M1364" s="193"/>
      <c r="N1364" s="202"/>
      <c r="O1364" s="193"/>
      <c r="P1364" s="202" t="s">
        <v>3564</v>
      </c>
      <c r="Q1364" s="151" t="s">
        <v>2752</v>
      </c>
      <c r="R1364" s="207"/>
      <c r="S1364" s="207"/>
      <c r="T1364" s="193"/>
      <c r="U1364" s="193"/>
      <c r="V1364" s="193"/>
      <c r="W1364" s="193"/>
      <c r="X1364" s="193"/>
      <c r="Y1364" s="193"/>
      <c r="Z1364" s="193"/>
    </row>
    <row r="1365" ht="17.25" customHeight="1">
      <c r="A1365" s="329"/>
      <c r="B1365" s="189" t="s">
        <v>1150</v>
      </c>
      <c r="C1365" s="154" t="s">
        <v>3565</v>
      </c>
      <c r="D1365" s="154" t="s">
        <v>1168</v>
      </c>
      <c r="E1365" s="153" t="s">
        <v>3566</v>
      </c>
      <c r="F1365" s="123">
        <f t="shared" si="1"/>
        <v>2</v>
      </c>
      <c r="G1365" s="121" t="s">
        <v>3567</v>
      </c>
      <c r="H1365" s="12"/>
      <c r="I1365" s="192" t="str">
        <f>IFERROR(__xludf.DUMMYFUNCTION("regexreplace(lower(C1365), ""_"", """")"),"dischargeneuroexamlevelconsciousness")</f>
        <v>dischargeneuroexamlevelconsciousness</v>
      </c>
      <c r="J1365" s="192" t="b">
        <f t="shared" si="60"/>
        <v>1</v>
      </c>
      <c r="K1365" s="192" t="str">
        <f>IFERROR(__xludf.DUMMYFUNCTION("regexreplace(G1365, ""_"", """")"),"dischargeneuroexamlevelconsciousness")</f>
        <v>dischargeneuroexamlevelconsciousness</v>
      </c>
      <c r="L13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""$1$2"")"),"discharge_neuro_exam_level_consciousness")</f>
        <v>discharge_neuro_exam_level_consciousness</v>
      </c>
      <c r="M1365" s="193"/>
      <c r="N1365" s="331" t="s">
        <v>7582</v>
      </c>
      <c r="O1365" s="193"/>
      <c r="P1365" s="202" t="s">
        <v>3568</v>
      </c>
      <c r="Q1365" s="151" t="s">
        <v>2757</v>
      </c>
      <c r="R1365" s="207"/>
      <c r="S1365" s="207"/>
      <c r="T1365" s="193"/>
      <c r="U1365" s="193"/>
      <c r="V1365" s="193"/>
      <c r="W1365" s="193"/>
      <c r="X1365" s="193"/>
      <c r="Y1365" s="193"/>
      <c r="Z1365" s="193"/>
    </row>
    <row r="1366" ht="17.25" customHeight="1">
      <c r="A1366" s="329"/>
      <c r="B1366" s="189" t="s">
        <v>1150</v>
      </c>
      <c r="C1366" s="154" t="s">
        <v>3569</v>
      </c>
      <c r="D1366" s="154" t="s">
        <v>1174</v>
      </c>
      <c r="E1366" s="153" t="s">
        <v>3570</v>
      </c>
      <c r="F1366" s="123">
        <f t="shared" si="1"/>
        <v>2</v>
      </c>
      <c r="G1366" s="121" t="s">
        <v>3571</v>
      </c>
      <c r="H1366" s="12"/>
      <c r="I1366" s="192" t="str">
        <f>IFERROR(__xludf.DUMMYFUNCTION("regexreplace(lower(C1366), ""_"", """")"),"dischargeneuroexamspontaneousactivity")</f>
        <v>dischargeneuroexamspontaneousactivity</v>
      </c>
      <c r="J1366" s="192" t="b">
        <f t="shared" si="60"/>
        <v>1</v>
      </c>
      <c r="K1366" s="192" t="str">
        <f>IFERROR(__xludf.DUMMYFUNCTION("regexreplace(G1366, ""_"", """")"),"dischargeneuroexamspontaneousactivity")</f>
        <v>dischargeneuroexamspontaneousactivity</v>
      </c>
      <c r="L13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""$1$2"")"),"discharge_neuro_exam_spontaneous_activity")</f>
        <v>discharge_neuro_exam_spontaneous_activity</v>
      </c>
      <c r="M1366" s="193"/>
      <c r="N1366" s="202"/>
      <c r="O1366" s="193"/>
      <c r="P1366" s="202" t="s">
        <v>3572</v>
      </c>
      <c r="Q1366" s="151" t="s">
        <v>2762</v>
      </c>
      <c r="R1366" s="207"/>
      <c r="S1366" s="207"/>
      <c r="T1366" s="193"/>
      <c r="U1366" s="193"/>
      <c r="V1366" s="193"/>
      <c r="W1366" s="193"/>
      <c r="X1366" s="193"/>
      <c r="Y1366" s="193"/>
      <c r="Z1366" s="193"/>
    </row>
    <row r="1367" ht="17.25" customHeight="1">
      <c r="A1367" s="329"/>
      <c r="B1367" s="189" t="s">
        <v>1150</v>
      </c>
      <c r="C1367" s="154" t="s">
        <v>3573</v>
      </c>
      <c r="D1367" s="203" t="s">
        <v>1180</v>
      </c>
      <c r="E1367" s="153" t="s">
        <v>3574</v>
      </c>
      <c r="F1367" s="123">
        <f t="shared" si="1"/>
        <v>2</v>
      </c>
      <c r="G1367" s="121" t="s">
        <v>3575</v>
      </c>
      <c r="H1367" s="12"/>
      <c r="I1367" s="192" t="str">
        <f>IFERROR(__xludf.DUMMYFUNCTION("regexreplace(lower(C1367), ""_"", """")"),"dischargeneuroexamposture")</f>
        <v>dischargeneuroexamposture</v>
      </c>
      <c r="J1367" s="192" t="b">
        <f t="shared" si="60"/>
        <v>1</v>
      </c>
      <c r="K1367" s="192" t="str">
        <f>IFERROR(__xludf.DUMMYFUNCTION("regexreplace(G1367, ""_"", """")"),"dischargeneuroexamposture")</f>
        <v>dischargeneuroexamposture</v>
      </c>
      <c r="L13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""$1$2"")"),"discharge_neuro_exam_posture")</f>
        <v>discharge_neuro_exam_posture</v>
      </c>
      <c r="M1367" s="193"/>
      <c r="N1367" s="202"/>
      <c r="O1367" s="193"/>
      <c r="P1367" s="202" t="s">
        <v>3576</v>
      </c>
      <c r="Q1367" s="151" t="s">
        <v>2767</v>
      </c>
      <c r="R1367" s="207"/>
      <c r="S1367" s="207"/>
      <c r="T1367" s="193"/>
      <c r="U1367" s="193"/>
      <c r="V1367" s="193"/>
      <c r="W1367" s="193"/>
      <c r="X1367" s="193"/>
      <c r="Y1367" s="193"/>
      <c r="Z1367" s="193"/>
    </row>
    <row r="1368" ht="17.25" customHeight="1">
      <c r="A1368" s="329"/>
      <c r="B1368" s="189" t="s">
        <v>1150</v>
      </c>
      <c r="C1368" s="154" t="s">
        <v>3577</v>
      </c>
      <c r="D1368" s="203" t="s">
        <v>1186</v>
      </c>
      <c r="E1368" s="153" t="s">
        <v>3578</v>
      </c>
      <c r="F1368" s="123">
        <f t="shared" si="1"/>
        <v>2</v>
      </c>
      <c r="G1368" s="121" t="s">
        <v>8403</v>
      </c>
      <c r="H1368" s="12"/>
      <c r="I1368" s="192" t="str">
        <f>IFERROR(__xludf.DUMMYFUNCTION("regexreplace(lower(C1368), ""_"", """")"),"dischargeneuroexamtone")</f>
        <v>dischargeneuroexamtone</v>
      </c>
      <c r="J1368" s="192" t="b">
        <f t="shared" si="60"/>
        <v>0</v>
      </c>
      <c r="K1368" s="192" t="str">
        <f>IFERROR(__xludf.DUMMYFUNCTION("regexreplace(G1368, ""_"", """")"),"dischargeneuroexamdecreasedtone")</f>
        <v>dischargeneuroexamdecreasedtone</v>
      </c>
      <c r="L13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""$1$2"")"),"discharge_neuro_exam_tone")</f>
        <v>discharge_neuro_exam_tone</v>
      </c>
      <c r="M1368" s="193"/>
      <c r="N1368" s="202"/>
      <c r="O1368" s="193"/>
      <c r="P1368" s="202" t="s">
        <v>3580</v>
      </c>
      <c r="Q1368" s="151" t="s">
        <v>2772</v>
      </c>
      <c r="R1368" s="207"/>
      <c r="S1368" s="207"/>
      <c r="T1368" s="193"/>
      <c r="U1368" s="193"/>
      <c r="V1368" s="193"/>
      <c r="W1368" s="193"/>
      <c r="X1368" s="193"/>
      <c r="Y1368" s="193"/>
      <c r="Z1368" s="193"/>
    </row>
    <row r="1369" ht="17.25" customHeight="1">
      <c r="A1369" s="329"/>
      <c r="B1369" s="189" t="s">
        <v>1150</v>
      </c>
      <c r="C1369" s="154" t="s">
        <v>3581</v>
      </c>
      <c r="D1369" s="203" t="s">
        <v>1192</v>
      </c>
      <c r="E1369" s="153" t="s">
        <v>3582</v>
      </c>
      <c r="F1369" s="123">
        <f t="shared" si="1"/>
        <v>2</v>
      </c>
      <c r="G1369" s="121" t="s">
        <v>3583</v>
      </c>
      <c r="H1369" s="12"/>
      <c r="I1369" s="192" t="str">
        <f>IFERROR(__xludf.DUMMYFUNCTION("regexreplace(lower(C1369), ""_"", """")"),"dischargeneuroexamsuck")</f>
        <v>dischargeneuroexamsuck</v>
      </c>
      <c r="J1369" s="192" t="b">
        <f t="shared" si="60"/>
        <v>1</v>
      </c>
      <c r="K1369" s="192" t="str">
        <f>IFERROR(__xludf.DUMMYFUNCTION("regexreplace(G1369, ""_"", """")"),"dischargeneuroexamsuck")</f>
        <v>dischargeneuroexamsuck</v>
      </c>
      <c r="L13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1369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""$1$2"")"),"discharge_neuro_exam_suck")</f>
        <v>discharge_neuro_exam_suck</v>
      </c>
      <c r="M1369" s="193"/>
      <c r="N1369" s="202"/>
      <c r="O1369" s="193"/>
      <c r="P1369" s="202" t="s">
        <v>3584</v>
      </c>
      <c r="Q1369" s="151" t="s">
        <v>2777</v>
      </c>
      <c r="R1369" s="207"/>
      <c r="S1369" s="207"/>
      <c r="T1369" s="193"/>
      <c r="U1369" s="193"/>
      <c r="V1369" s="193"/>
      <c r="W1369" s="193"/>
      <c r="X1369" s="193"/>
      <c r="Y1369" s="193"/>
      <c r="Z1369" s="193"/>
    </row>
    <row r="1370" ht="17.25" customHeight="1">
      <c r="A1370" s="329"/>
      <c r="B1370" s="189" t="s">
        <v>1150</v>
      </c>
      <c r="C1370" s="154" t="s">
        <v>3585</v>
      </c>
      <c r="D1370" s="203" t="s">
        <v>1198</v>
      </c>
      <c r="E1370" s="153" t="s">
        <v>3586</v>
      </c>
      <c r="F1370" s="123">
        <f t="shared" si="1"/>
        <v>2</v>
      </c>
      <c r="G1370" s="121" t="s">
        <v>3587</v>
      </c>
      <c r="H1370" s="12"/>
      <c r="I1370" s="192" t="str">
        <f>IFERROR(__xludf.DUMMYFUNCTION("regexreplace(lower(C1370), ""_"", """")"),"dischargeneuroexammoro")</f>
        <v>dischargeneuroexammoro</v>
      </c>
      <c r="J1370" s="192" t="b">
        <f t="shared" si="60"/>
        <v>1</v>
      </c>
      <c r="K1370" s="192" t="str">
        <f>IFERROR(__xludf.DUMMYFUNCTION("regexreplace(G1370, ""_"", """")"),"dischargeneuroexammoro")</f>
        <v>dischargeneuroexammoro</v>
      </c>
      <c r="L13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""$1$2"")"),"discharge_neuro_exam_moro")</f>
        <v>discharge_neuro_exam_moro</v>
      </c>
      <c r="M1370" s="193"/>
      <c r="N1370" s="202"/>
      <c r="O1370" s="193"/>
      <c r="P1370" s="202" t="s">
        <v>3588</v>
      </c>
      <c r="Q1370" s="151" t="s">
        <v>2782</v>
      </c>
      <c r="R1370" s="207"/>
      <c r="S1370" s="207"/>
      <c r="T1370" s="193"/>
      <c r="U1370" s="193"/>
      <c r="V1370" s="193"/>
      <c r="W1370" s="193"/>
      <c r="X1370" s="193"/>
      <c r="Y1370" s="193"/>
      <c r="Z1370" s="193"/>
    </row>
    <row r="1371" ht="17.25" customHeight="1">
      <c r="A1371" s="329"/>
      <c r="B1371" s="189" t="s">
        <v>1150</v>
      </c>
      <c r="C1371" s="154" t="s">
        <v>3589</v>
      </c>
      <c r="D1371" s="203" t="s">
        <v>1204</v>
      </c>
      <c r="E1371" s="153" t="s">
        <v>3590</v>
      </c>
      <c r="F1371" s="123">
        <f t="shared" si="1"/>
        <v>2</v>
      </c>
      <c r="G1371" s="121" t="s">
        <v>3591</v>
      </c>
      <c r="H1371" s="12"/>
      <c r="I1371" s="192" t="str">
        <f>IFERROR(__xludf.DUMMYFUNCTION("regexreplace(lower(C1371), ""_"", """")"),"dischargeneuroexampupils")</f>
        <v>dischargeneuroexampupils</v>
      </c>
      <c r="J1371" s="192" t="b">
        <f t="shared" si="60"/>
        <v>1</v>
      </c>
      <c r="K1371" s="192" t="str">
        <f>IFERROR(__xludf.DUMMYFUNCTION("regexreplace(G1371, ""_"", """")"),"dischargeneuroexampupils")</f>
        <v>dischargeneuroexampupils</v>
      </c>
      <c r="L13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""$1$2"")"),"discharge_neuro_exam_pupils")</f>
        <v>discharge_neuro_exam_pupils</v>
      </c>
      <c r="M1371" s="193"/>
      <c r="N1371" s="202"/>
      <c r="O1371" s="193"/>
      <c r="P1371" s="202" t="s">
        <v>3592</v>
      </c>
      <c r="Q1371" s="151" t="s">
        <v>2787</v>
      </c>
      <c r="R1371" s="207"/>
      <c r="S1371" s="207"/>
      <c r="T1371" s="193"/>
      <c r="U1371" s="193"/>
      <c r="V1371" s="193"/>
      <c r="W1371" s="193"/>
      <c r="X1371" s="193"/>
      <c r="Y1371" s="193"/>
      <c r="Z1371" s="193"/>
    </row>
    <row r="1372" ht="17.25" customHeight="1">
      <c r="A1372" s="329"/>
      <c r="B1372" s="189" t="s">
        <v>1150</v>
      </c>
      <c r="C1372" s="154" t="s">
        <v>3593</v>
      </c>
      <c r="D1372" s="203" t="s">
        <v>1210</v>
      </c>
      <c r="E1372" s="153" t="s">
        <v>3594</v>
      </c>
      <c r="F1372" s="123">
        <f t="shared" si="1"/>
        <v>2</v>
      </c>
      <c r="G1372" s="121" t="s">
        <v>3595</v>
      </c>
      <c r="H1372" s="12"/>
      <c r="I1372" s="192" t="str">
        <f>IFERROR(__xludf.DUMMYFUNCTION("regexreplace(lower(C1372), ""_"", """")"),"dischargeneuroexamheartrate")</f>
        <v>dischargeneuroexamheartrate</v>
      </c>
      <c r="J1372" s="192" t="b">
        <f t="shared" si="60"/>
        <v>1</v>
      </c>
      <c r="K1372" s="192" t="str">
        <f>IFERROR(__xludf.DUMMYFUNCTION("regexreplace(G1372, ""_"", """")"),"dischargeneuroexamheartrate")</f>
        <v>dischargeneuroexamheartrate</v>
      </c>
      <c r="L13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""$1$2"")"),"discharge_neuro_exam_heart_rate")</f>
        <v>discharge_neuro_exam_heart_rate</v>
      </c>
      <c r="M1372" s="193"/>
      <c r="N1372" s="202"/>
      <c r="O1372" s="193"/>
      <c r="P1372" s="202" t="s">
        <v>3596</v>
      </c>
      <c r="Q1372" s="151" t="s">
        <v>2792</v>
      </c>
      <c r="R1372" s="207"/>
      <c r="S1372" s="207"/>
      <c r="T1372" s="193"/>
      <c r="U1372" s="193"/>
      <c r="V1372" s="193"/>
      <c r="W1372" s="193"/>
      <c r="X1372" s="193"/>
      <c r="Y1372" s="193"/>
      <c r="Z1372" s="193"/>
    </row>
    <row r="1373" ht="17.25" customHeight="1">
      <c r="A1373" s="329"/>
      <c r="B1373" s="189" t="s">
        <v>1150</v>
      </c>
      <c r="C1373" s="154" t="s">
        <v>3597</v>
      </c>
      <c r="D1373" s="203" t="s">
        <v>1216</v>
      </c>
      <c r="E1373" s="335" t="s">
        <v>3598</v>
      </c>
      <c r="F1373" s="123">
        <f t="shared" si="1"/>
        <v>2</v>
      </c>
      <c r="G1373" s="121" t="s">
        <v>3599</v>
      </c>
      <c r="H1373" s="12"/>
      <c r="I1373" s="192" t="str">
        <f>IFERROR(__xludf.DUMMYFUNCTION("regexreplace(lower(C1373), ""_"", """")"),"dischargeneuroexamrespiration")</f>
        <v>dischargeneuroexamrespiration</v>
      </c>
      <c r="J1373" s="192" t="b">
        <f t="shared" si="60"/>
        <v>1</v>
      </c>
      <c r="K1373" s="192" t="str">
        <f>IFERROR(__xludf.DUMMYFUNCTION("regexreplace(G1373, ""_"", """")"),"dischargeneuroexamrespiration")</f>
        <v>dischargeneuroexamrespiration</v>
      </c>
      <c r="L13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""$1$2"")"),"discharge_neuro_exam_respiration")</f>
        <v>discharge_neuro_exam_respiration</v>
      </c>
      <c r="M1373" s="193"/>
      <c r="N1373" s="202"/>
      <c r="O1373" s="193"/>
      <c r="P1373" s="336" t="s">
        <v>3600</v>
      </c>
      <c r="Q1373" s="151" t="s">
        <v>2797</v>
      </c>
      <c r="R1373" s="207"/>
      <c r="S1373" s="207"/>
      <c r="T1373" s="193"/>
      <c r="U1373" s="193"/>
      <c r="V1373" s="193"/>
      <c r="W1373" s="193"/>
      <c r="X1373" s="193"/>
      <c r="Y1373" s="193"/>
      <c r="Z1373" s="193"/>
    </row>
    <row r="1374" ht="17.25" customHeight="1">
      <c r="A1374" s="329"/>
      <c r="B1374" s="189" t="s">
        <v>1150</v>
      </c>
      <c r="C1374" s="154" t="s">
        <v>3601</v>
      </c>
      <c r="D1374" s="154" t="s">
        <v>40</v>
      </c>
      <c r="E1374" s="153" t="s">
        <v>3602</v>
      </c>
      <c r="F1374" s="123">
        <f t="shared" si="1"/>
        <v>2</v>
      </c>
      <c r="G1374" s="121" t="s">
        <v>3603</v>
      </c>
      <c r="H1374" s="12"/>
      <c r="I1374" s="192" t="str">
        <f>IFERROR(__xludf.DUMMYFUNCTION("regexreplace(lower(C1374), ""_"", """")"),"dischargeneuroexamseizure")</f>
        <v>dischargeneuroexamseizure</v>
      </c>
      <c r="J1374" s="192" t="b">
        <f t="shared" si="60"/>
        <v>1</v>
      </c>
      <c r="K1374" s="192" t="str">
        <f>IFERROR(__xludf.DUMMYFUNCTION("regexreplace(G1374, ""_"", """")"),"dischargeneuroexamseizure")</f>
        <v>dischargeneuroexamseizure</v>
      </c>
      <c r="L13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""$1$2"")"),"discharge_neuro_exam_seizure")</f>
        <v>discharge_neuro_exam_seizure</v>
      </c>
      <c r="M1374" s="193"/>
      <c r="N1374" s="202"/>
      <c r="O1374" s="193"/>
      <c r="P1374" s="202" t="s">
        <v>3604</v>
      </c>
      <c r="Q1374" s="151" t="s">
        <v>2802</v>
      </c>
      <c r="R1374" s="207"/>
      <c r="S1374" s="207"/>
      <c r="T1374" s="193"/>
      <c r="U1374" s="193"/>
      <c r="V1374" s="193"/>
      <c r="W1374" s="193"/>
      <c r="X1374" s="193"/>
      <c r="Y1374" s="193"/>
      <c r="Z1374" s="193"/>
    </row>
    <row r="1375" ht="17.25" customHeight="1">
      <c r="A1375" s="329"/>
      <c r="B1375" s="189" t="s">
        <v>1150</v>
      </c>
      <c r="C1375" s="154" t="s">
        <v>3605</v>
      </c>
      <c r="D1375" s="154" t="s">
        <v>40</v>
      </c>
      <c r="E1375" s="153" t="s">
        <v>3606</v>
      </c>
      <c r="F1375" s="123">
        <f t="shared" si="1"/>
        <v>2</v>
      </c>
      <c r="G1375" s="121" t="s">
        <v>3607</v>
      </c>
      <c r="H1375" s="12"/>
      <c r="I1375" s="192" t="str">
        <f>IFERROR(__xludf.DUMMYFUNCTION("regexreplace(lower(C1375), ""_"", """")"),"dischargeneuroexamclonussustained")</f>
        <v>dischargeneuroexamclonussustained</v>
      </c>
      <c r="J1375" s="192" t="b">
        <f t="shared" si="60"/>
        <v>1</v>
      </c>
      <c r="K1375" s="192" t="str">
        <f>IFERROR(__xludf.DUMMYFUNCTION("regexreplace(G1375, ""_"", """")"),"dischargeneuroexamclonussustained")</f>
        <v>dischargeneuroexamclonussustained</v>
      </c>
      <c r="L13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""$1$2"")"),"discharge_neuro_exam_clonus_sustained")</f>
        <v>discharge_neuro_exam_clonus_sustained</v>
      </c>
      <c r="M1375" s="193"/>
      <c r="N1375" s="202"/>
      <c r="O1375" s="193"/>
      <c r="P1375" s="202" t="s">
        <v>3608</v>
      </c>
      <c r="Q1375" s="151" t="s">
        <v>2812</v>
      </c>
      <c r="R1375" s="207"/>
      <c r="S1375" s="207"/>
      <c r="T1375" s="193"/>
      <c r="U1375" s="193"/>
      <c r="V1375" s="193"/>
      <c r="W1375" s="193"/>
      <c r="X1375" s="193"/>
      <c r="Y1375" s="193"/>
      <c r="Z1375" s="193"/>
    </row>
    <row r="1376" ht="17.25" customHeight="1">
      <c r="A1376" s="329"/>
      <c r="B1376" s="189" t="s">
        <v>1150</v>
      </c>
      <c r="C1376" s="154" t="s">
        <v>3609</v>
      </c>
      <c r="D1376" s="154" t="s">
        <v>40</v>
      </c>
      <c r="E1376" s="153" t="s">
        <v>3610</v>
      </c>
      <c r="F1376" s="123">
        <f t="shared" si="1"/>
        <v>2</v>
      </c>
      <c r="G1376" s="121" t="s">
        <v>3611</v>
      </c>
      <c r="H1376" s="12"/>
      <c r="I1376" s="192" t="str">
        <f>IFERROR(__xludf.DUMMYFUNCTION("regexreplace(lower(C1376), ""_"", """")"),"dischargeneuroexamfistedhand")</f>
        <v>dischargeneuroexamfistedhand</v>
      </c>
      <c r="J1376" s="192" t="b">
        <f t="shared" si="60"/>
        <v>1</v>
      </c>
      <c r="K1376" s="192" t="str">
        <f>IFERROR(__xludf.DUMMYFUNCTION("regexreplace(G1376, ""_"", """")"),"dischargeneuroexamfistedhand")</f>
        <v>dischargeneuroexamfistedhand</v>
      </c>
      <c r="L13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""$1$2"")"),"discharge_neuro_exam_fisted_hand")</f>
        <v>discharge_neuro_exam_fisted_hand</v>
      </c>
      <c r="M1376" s="193"/>
      <c r="N1376" s="202"/>
      <c r="O1376" s="193"/>
      <c r="P1376" s="202" t="s">
        <v>3612</v>
      </c>
      <c r="Q1376" s="151" t="s">
        <v>2817</v>
      </c>
      <c r="R1376" s="207"/>
      <c r="S1376" s="207"/>
      <c r="T1376" s="193"/>
      <c r="U1376" s="193"/>
      <c r="V1376" s="193"/>
      <c r="W1376" s="193"/>
      <c r="X1376" s="193"/>
      <c r="Y1376" s="193"/>
      <c r="Z1376" s="193"/>
    </row>
    <row r="1377" ht="17.25" customHeight="1">
      <c r="A1377" s="329"/>
      <c r="B1377" s="189" t="s">
        <v>1150</v>
      </c>
      <c r="C1377" s="154" t="s">
        <v>3613</v>
      </c>
      <c r="D1377" s="154" t="s">
        <v>40</v>
      </c>
      <c r="E1377" s="153" t="s">
        <v>3614</v>
      </c>
      <c r="F1377" s="123">
        <f t="shared" si="1"/>
        <v>2</v>
      </c>
      <c r="G1377" s="121" t="s">
        <v>3615</v>
      </c>
      <c r="H1377" s="12"/>
      <c r="I1377" s="192" t="str">
        <f>IFERROR(__xludf.DUMMYFUNCTION("regexreplace(lower(C1377), ""_"", """")"),"dischargeneuroexamabnormalmovement")</f>
        <v>dischargeneuroexamabnormalmovement</v>
      </c>
      <c r="J1377" s="192" t="b">
        <f t="shared" si="60"/>
        <v>1</v>
      </c>
      <c r="K1377" s="192" t="str">
        <f>IFERROR(__xludf.DUMMYFUNCTION("regexreplace(G1377, ""_"", """")"),"dischargeneuroexamabnormalmovement")</f>
        <v>dischargeneuroexamabnormalmovement</v>
      </c>
      <c r="L13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""$1$2"")"),"discharge_neuro_exam_abnormal_movement")</f>
        <v>discharge_neuro_exam_abnormal_movement</v>
      </c>
      <c r="M1377" s="193"/>
      <c r="N1377" s="202"/>
      <c r="O1377" s="193"/>
      <c r="P1377" s="202" t="s">
        <v>3616</v>
      </c>
      <c r="Q1377" s="151" t="s">
        <v>2822</v>
      </c>
      <c r="R1377" s="207"/>
      <c r="S1377" s="207"/>
      <c r="T1377" s="193"/>
      <c r="U1377" s="193"/>
      <c r="V1377" s="193"/>
      <c r="W1377" s="193"/>
      <c r="X1377" s="193"/>
      <c r="Y1377" s="193"/>
      <c r="Z1377" s="193"/>
    </row>
    <row r="1378" ht="17.25" customHeight="1">
      <c r="A1378" s="329"/>
      <c r="B1378" s="189" t="s">
        <v>1150</v>
      </c>
      <c r="C1378" s="154" t="s">
        <v>3617</v>
      </c>
      <c r="D1378" s="154" t="s">
        <v>40</v>
      </c>
      <c r="E1378" s="153" t="s">
        <v>3618</v>
      </c>
      <c r="F1378" s="123">
        <f t="shared" si="1"/>
        <v>2</v>
      </c>
      <c r="G1378" s="121" t="s">
        <v>3619</v>
      </c>
      <c r="H1378" s="12"/>
      <c r="I1378" s="192" t="str">
        <f>IFERROR(__xludf.DUMMYFUNCTION("regexreplace(lower(C1378), ""_"", """")"),"dischargeneuroexamgagreflexabsent")</f>
        <v>dischargeneuroexamgagreflexabsent</v>
      </c>
      <c r="J1378" s="192" t="b">
        <f t="shared" si="60"/>
        <v>1</v>
      </c>
      <c r="K1378" s="192" t="str">
        <f>IFERROR(__xludf.DUMMYFUNCTION("regexreplace(G1378, ""_"", """")"),"dischargeneuroexamgagreflexabsent")</f>
        <v>dischargeneuroexamgagreflexabsent</v>
      </c>
      <c r="L137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""$1$2"")"),"discharge_neuro_exam_gag_reflex_absent")</f>
        <v>discharge_neuro_exam_gag_reflex_absent</v>
      </c>
      <c r="M1378" s="193"/>
      <c r="N1378" s="202"/>
      <c r="O1378" s="193"/>
      <c r="P1378" s="202" t="s">
        <v>3620</v>
      </c>
      <c r="Q1378" s="151" t="s">
        <v>2827</v>
      </c>
      <c r="R1378" s="207"/>
      <c r="S1378" s="207"/>
      <c r="T1378" s="193"/>
      <c r="U1378" s="193"/>
      <c r="V1378" s="193"/>
      <c r="W1378" s="193"/>
      <c r="X1378" s="193"/>
      <c r="Y1378" s="193"/>
      <c r="Z1378" s="193"/>
    </row>
    <row r="1379" ht="17.25" customHeight="1">
      <c r="A1379" s="329"/>
      <c r="B1379" s="189" t="s">
        <v>1150</v>
      </c>
      <c r="C1379" s="154" t="s">
        <v>3621</v>
      </c>
      <c r="D1379" s="154" t="s">
        <v>40</v>
      </c>
      <c r="E1379" s="152" t="s">
        <v>3622</v>
      </c>
      <c r="F1379" s="123">
        <f t="shared" si="1"/>
        <v>1</v>
      </c>
      <c r="G1379" s="121" t="s">
        <v>3623</v>
      </c>
      <c r="H1379" s="12"/>
      <c r="I1379" s="192" t="str">
        <f>IFERROR(__xludf.DUMMYFUNCTION("regexreplace(lower(C1379), ""_"", """")"),"dischargeneuroexamsedate")</f>
        <v>dischargeneuroexamsedate</v>
      </c>
      <c r="J1379" s="192" t="b">
        <f t="shared" si="60"/>
        <v>1</v>
      </c>
      <c r="K1379" s="192" t="str">
        <f>IFERROR(__xludf.DUMMYFUNCTION("regexreplace(G1379, ""_"", """")"),"dischargeneuroexamsedate")</f>
        <v>dischargeneuroexamsedate</v>
      </c>
      <c r="L13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1379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""$1$2"")"),"discharge_neuro_exam_sedate")</f>
        <v>discharge_neuro_exam_sedate</v>
      </c>
      <c r="M1379" s="193"/>
      <c r="N1379" s="202"/>
      <c r="O1379" s="193"/>
      <c r="P1379" s="202"/>
      <c r="Q1379" s="151" t="s">
        <v>2807</v>
      </c>
      <c r="R1379" s="207"/>
      <c r="S1379" s="207"/>
      <c r="T1379" s="193"/>
      <c r="U1379" s="193"/>
      <c r="V1379" s="193"/>
      <c r="W1379" s="193"/>
      <c r="X1379" s="193"/>
      <c r="Y1379" s="193"/>
      <c r="Z1379" s="193"/>
    </row>
    <row r="1380" ht="17.25" customHeight="1">
      <c r="A1380" s="329"/>
      <c r="B1380" s="189" t="s">
        <v>1150</v>
      </c>
      <c r="C1380" s="154" t="s">
        <v>3624</v>
      </c>
      <c r="D1380" s="154" t="s">
        <v>40</v>
      </c>
      <c r="E1380" s="153" t="s">
        <v>3625</v>
      </c>
      <c r="F1380" s="123">
        <f t="shared" si="1"/>
        <v>1</v>
      </c>
      <c r="G1380" s="121" t="s">
        <v>3626</v>
      </c>
      <c r="H1380" s="12"/>
      <c r="I1380" s="192" t="str">
        <f>IFERROR(__xludf.DUMMYFUNCTION("regexreplace(lower(C1380), ""_"", """")"),"dischargeneuroexamhypertonia")</f>
        <v>dischargeneuroexamhypertonia</v>
      </c>
      <c r="J1380" s="192" t="b">
        <f t="shared" si="60"/>
        <v>1</v>
      </c>
      <c r="K1380" s="192" t="str">
        <f>IFERROR(__xludf.DUMMYFUNCTION("regexreplace(G1380, ""_"", """")"),"dischargeneuroexamhypertonia")</f>
        <v>dischargeneuroexamhypertonia</v>
      </c>
      <c r="L13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""$1$2"")"),"discharge_neuro_exam_hypertonia")</f>
        <v>discharge_neuro_exam_hypertonia</v>
      </c>
      <c r="M1380" s="193"/>
      <c r="N1380" s="202"/>
      <c r="O1380" s="193"/>
      <c r="P1380" s="202" t="s">
        <v>3627</v>
      </c>
      <c r="Q1380" s="199"/>
      <c r="R1380" s="207"/>
      <c r="S1380" s="207"/>
      <c r="T1380" s="193"/>
      <c r="U1380" s="193"/>
      <c r="V1380" s="193"/>
      <c r="W1380" s="193"/>
      <c r="X1380" s="193"/>
      <c r="Y1380" s="193"/>
      <c r="Z1380" s="193"/>
    </row>
    <row r="1381">
      <c r="A1381" s="329"/>
      <c r="B1381" s="189" t="s">
        <v>1150</v>
      </c>
      <c r="C1381" s="196" t="s">
        <v>3628</v>
      </c>
      <c r="D1381" s="154" t="s">
        <v>40</v>
      </c>
      <c r="E1381" s="151" t="s">
        <v>3629</v>
      </c>
      <c r="F1381" s="123">
        <f t="shared" si="1"/>
        <v>1</v>
      </c>
      <c r="G1381" s="121" t="s">
        <v>3630</v>
      </c>
      <c r="H1381" s="39"/>
      <c r="I1381" s="192" t="str">
        <f>IFERROR(__xludf.DUMMYFUNCTION("regexreplace(lower(C1381), ""_"", """")"),"dischargeneuroexamasymtonicneckreflex")</f>
        <v>dischargeneuroexamasymtonicneckreflex</v>
      </c>
      <c r="J1381" s="192" t="b">
        <f t="shared" si="60"/>
        <v>1</v>
      </c>
      <c r="K1381" s="192" t="str">
        <f>IFERROR(__xludf.DUMMYFUNCTION("regexreplace(G1381, ""_"", """")"),"dischargeneuroexamasymtonicneckreflex")</f>
        <v>dischargeneuroexamasymtonicneckreflex</v>
      </c>
      <c r="L13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""$1$2"")"),"discharge_neuro_exam_asym_tonic_neck_reflex")</f>
        <v>discharge_neuro_exam_asym_tonic_neck_reflex</v>
      </c>
      <c r="M1381" s="193"/>
      <c r="N1381" s="199"/>
      <c r="O1381" s="193"/>
      <c r="P1381" s="199"/>
      <c r="Q1381" s="151" t="s">
        <v>2834</v>
      </c>
      <c r="R1381" s="207"/>
      <c r="S1381" s="207"/>
      <c r="T1381" s="193"/>
      <c r="U1381" s="193"/>
      <c r="V1381" s="193"/>
      <c r="W1381" s="193"/>
      <c r="X1381" s="193"/>
      <c r="Y1381" s="193"/>
      <c r="Z1381" s="193"/>
    </row>
    <row r="1382" ht="17.25" customHeight="1">
      <c r="A1382" s="117"/>
      <c r="B1382" s="117"/>
      <c r="C1382" s="39"/>
      <c r="D1382" s="39"/>
      <c r="E1382" s="295" t="s">
        <v>8404</v>
      </c>
      <c r="F1382" s="123">
        <f t="shared" si="1"/>
        <v>0</v>
      </c>
      <c r="G1382" s="12" t="s">
        <v>851</v>
      </c>
      <c r="H1382" s="39"/>
      <c r="I1382" s="12" t="str">
        <f>IFERROR(__xludf.DUMMYFUNCTION("regexreplace(lower(C1382), ""_"", """")"),"")</f>
        <v/>
      </c>
      <c r="J1382" s="12" t="b">
        <f t="shared" si="60"/>
        <v>1</v>
      </c>
      <c r="K1382" s="12" t="str">
        <f>IFERROR(__xludf.DUMMYFUNCTION("regexreplace(G1382, ""_"", """")"),"")</f>
        <v/>
      </c>
      <c r="L138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382" s="71"/>
      <c r="P1382" s="71"/>
      <c r="Q1382" s="15"/>
      <c r="R1382" s="88"/>
      <c r="S1382" s="88"/>
    </row>
    <row r="1383">
      <c r="A1383" s="329" t="s">
        <v>8390</v>
      </c>
      <c r="B1383" s="329" t="s">
        <v>795</v>
      </c>
      <c r="C1383" s="154" t="s">
        <v>3631</v>
      </c>
      <c r="D1383" s="154" t="s">
        <v>40</v>
      </c>
      <c r="E1383" s="151" t="s">
        <v>3632</v>
      </c>
      <c r="F1383" s="123">
        <f t="shared" si="1"/>
        <v>2</v>
      </c>
      <c r="G1383" s="121" t="s">
        <v>3633</v>
      </c>
      <c r="H1383" s="12"/>
      <c r="I1383" s="192" t="str">
        <f>IFERROR(__xludf.DUMMYFUNCTION("regexreplace(lower(C1383), ""_"", """")"),"dischargecardiomegaly")</f>
        <v>dischargecardiomegaly</v>
      </c>
      <c r="J1383" s="192" t="b">
        <f t="shared" si="60"/>
        <v>1</v>
      </c>
      <c r="K1383" s="192" t="str">
        <f>IFERROR(__xludf.DUMMYFUNCTION("regexreplace(G1383, ""_"", """")"),"dischargecardiomegaly")</f>
        <v>dischargecardiomegaly</v>
      </c>
      <c r="L138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""$1$2"")"),"discharge_cardiomegaly")</f>
        <v>discharge_cardiomegaly</v>
      </c>
      <c r="M1383" s="193"/>
      <c r="N1383" s="151"/>
      <c r="O1383" s="193"/>
      <c r="P1383" s="151" t="s">
        <v>3634</v>
      </c>
      <c r="Q1383" s="151" t="s">
        <v>3635</v>
      </c>
      <c r="R1383" s="207"/>
      <c r="S1383" s="207"/>
      <c r="T1383" s="193"/>
      <c r="U1383" s="193"/>
      <c r="V1383" s="193"/>
      <c r="W1383" s="193"/>
      <c r="X1383" s="193"/>
      <c r="Y1383" s="193"/>
      <c r="Z1383" s="193"/>
    </row>
    <row r="1384">
      <c r="A1384" s="329"/>
      <c r="B1384" s="329" t="s">
        <v>795</v>
      </c>
      <c r="C1384" s="154" t="s">
        <v>3636</v>
      </c>
      <c r="D1384" s="154" t="s">
        <v>40</v>
      </c>
      <c r="E1384" s="151" t="s">
        <v>3637</v>
      </c>
      <c r="F1384" s="123">
        <f t="shared" si="1"/>
        <v>2</v>
      </c>
      <c r="G1384" s="121" t="s">
        <v>3638</v>
      </c>
      <c r="H1384" s="12"/>
      <c r="I1384" s="192" t="str">
        <f>IFERROR(__xludf.DUMMYFUNCTION("regexreplace(lower(C1384), ""_"", """")"),"dischargecardiacfailure")</f>
        <v>dischargecardiacfailure</v>
      </c>
      <c r="J1384" s="192" t="b">
        <f t="shared" si="60"/>
        <v>1</v>
      </c>
      <c r="K1384" s="192" t="str">
        <f>IFERROR(__xludf.DUMMYFUNCTION("regexreplace(G1384, ""_"", """")"),"dischargecardiacfailure")</f>
        <v>dischargecardiacfailure</v>
      </c>
      <c r="L13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""$1$2"")"),"discharge_cardiac_failure")</f>
        <v>discharge_cardiac_failure</v>
      </c>
      <c r="M1384" s="193"/>
      <c r="N1384" s="151"/>
      <c r="O1384" s="193"/>
      <c r="P1384" s="151" t="s">
        <v>3639</v>
      </c>
      <c r="Q1384" s="151" t="s">
        <v>3640</v>
      </c>
      <c r="R1384" s="207"/>
      <c r="S1384" s="207"/>
      <c r="T1384" s="193"/>
      <c r="U1384" s="193"/>
      <c r="V1384" s="193"/>
      <c r="W1384" s="193"/>
      <c r="X1384" s="193"/>
      <c r="Y1384" s="193"/>
      <c r="Z1384" s="193"/>
    </row>
    <row r="1385">
      <c r="A1385" s="329"/>
      <c r="B1385" s="329" t="s">
        <v>795</v>
      </c>
      <c r="C1385" s="154" t="s">
        <v>3641</v>
      </c>
      <c r="D1385" s="154" t="s">
        <v>40</v>
      </c>
      <c r="E1385" s="151" t="s">
        <v>3642</v>
      </c>
      <c r="F1385" s="123">
        <f t="shared" si="1"/>
        <v>2</v>
      </c>
      <c r="G1385" s="121" t="s">
        <v>3643</v>
      </c>
      <c r="H1385" s="12"/>
      <c r="I1385" s="192" t="str">
        <f>IFERROR(__xludf.DUMMYFUNCTION("regexreplace(lower(C1385), ""_"", """")"),"dischargecardiacdysfunctionbyecho")</f>
        <v>dischargecardiacdysfunctionbyecho</v>
      </c>
      <c r="J1385" s="192" t="b">
        <f t="shared" si="60"/>
        <v>1</v>
      </c>
      <c r="K1385" s="192" t="str">
        <f>IFERROR(__xludf.DUMMYFUNCTION("regexreplace(G1385, ""_"", """")"),"dischargecardiacdysfunctionbyecho")</f>
        <v>dischargecardiacdysfunctionbyecho</v>
      </c>
      <c r="L13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""$1$2"")"),"discharge_cardiac_dysfunction_by_echo")</f>
        <v>discharge_cardiac_dysfunction_by_echo</v>
      </c>
      <c r="M1385" s="193"/>
      <c r="N1385" s="151"/>
      <c r="O1385" s="193"/>
      <c r="P1385" s="151" t="s">
        <v>3644</v>
      </c>
      <c r="Q1385" s="151" t="s">
        <v>3645</v>
      </c>
      <c r="R1385" s="207"/>
      <c r="S1385" s="207"/>
      <c r="T1385" s="193"/>
      <c r="U1385" s="193"/>
      <c r="V1385" s="193"/>
      <c r="W1385" s="193"/>
      <c r="X1385" s="193"/>
      <c r="Y1385" s="193"/>
      <c r="Z1385" s="193"/>
    </row>
    <row r="1386">
      <c r="A1386" s="329"/>
      <c r="B1386" s="329" t="s">
        <v>795</v>
      </c>
      <c r="C1386" s="196" t="s">
        <v>3646</v>
      </c>
      <c r="D1386" s="196" t="s">
        <v>40</v>
      </c>
      <c r="E1386" s="151" t="s">
        <v>3647</v>
      </c>
      <c r="F1386" s="123">
        <f t="shared" si="1"/>
        <v>2</v>
      </c>
      <c r="G1386" s="121" t="s">
        <v>3648</v>
      </c>
      <c r="H1386" s="39"/>
      <c r="I1386" s="192" t="str">
        <f>IFERROR(__xludf.DUMMYFUNCTION("regexreplace(lower(C1386), ""_"", """")"),"dischargecardiacischemiabyekg")</f>
        <v>dischargecardiacischemiabyekg</v>
      </c>
      <c r="J1386" s="192" t="b">
        <f t="shared" si="60"/>
        <v>1</v>
      </c>
      <c r="K1386" s="192" t="str">
        <f>IFERROR(__xludf.DUMMYFUNCTION("regexreplace(G1386, ""_"", """")"),"dischargecardiacischemiabyekg")</f>
        <v>dischargecardiacischemiabyekg</v>
      </c>
      <c r="L13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""$1$2"")"),"discharge_cardiac_ischemia_by_ekg")</f>
        <v>discharge_cardiac_ischemia_by_ekg</v>
      </c>
      <c r="M1386" s="193"/>
      <c r="N1386" s="151"/>
      <c r="O1386" s="193"/>
      <c r="P1386" s="151" t="s">
        <v>3649</v>
      </c>
      <c r="Q1386" s="151" t="s">
        <v>3650</v>
      </c>
      <c r="R1386" s="207"/>
      <c r="S1386" s="207"/>
      <c r="T1386" s="193"/>
      <c r="U1386" s="193"/>
      <c r="V1386" s="193"/>
      <c r="W1386" s="193"/>
      <c r="X1386" s="193"/>
      <c r="Y1386" s="193"/>
      <c r="Z1386" s="193"/>
    </row>
    <row r="1387">
      <c r="A1387" s="329"/>
      <c r="B1387" s="329" t="s">
        <v>795</v>
      </c>
      <c r="C1387" s="154" t="s">
        <v>3651</v>
      </c>
      <c r="D1387" s="154" t="s">
        <v>40</v>
      </c>
      <c r="E1387" s="151" t="s">
        <v>3652</v>
      </c>
      <c r="F1387" s="123">
        <f t="shared" si="1"/>
        <v>2</v>
      </c>
      <c r="G1387" s="121" t="s">
        <v>3653</v>
      </c>
      <c r="H1387" s="12"/>
      <c r="I1387" s="192" t="str">
        <f>IFERROR(__xludf.DUMMYFUNCTION("regexreplace(lower(C1387), ""_"", """")"),"dischargehypotension")</f>
        <v>dischargehypotension</v>
      </c>
      <c r="J1387" s="192" t="b">
        <f t="shared" si="60"/>
        <v>1</v>
      </c>
      <c r="K1387" s="192" t="str">
        <f>IFERROR(__xludf.DUMMYFUNCTION("regexreplace(G1387, ""_"", """")"),"dischargehypotension")</f>
        <v>dischargehypotension</v>
      </c>
      <c r="L13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""$1$2"")"),"discharge_hypotension")</f>
        <v>discharge_hypotension</v>
      </c>
      <c r="M1387" s="193"/>
      <c r="N1387" s="151"/>
      <c r="O1387" s="193"/>
      <c r="P1387" s="151" t="s">
        <v>3654</v>
      </c>
      <c r="Q1387" s="151" t="s">
        <v>3655</v>
      </c>
      <c r="R1387" s="207"/>
      <c r="S1387" s="207"/>
      <c r="T1387" s="193"/>
      <c r="U1387" s="193"/>
      <c r="V1387" s="193"/>
      <c r="W1387" s="193"/>
      <c r="X1387" s="193"/>
      <c r="Y1387" s="193"/>
      <c r="Z1387" s="193"/>
    </row>
    <row r="1388">
      <c r="A1388" s="329"/>
      <c r="B1388" s="329" t="s">
        <v>795</v>
      </c>
      <c r="C1388" s="154" t="s">
        <v>3656</v>
      </c>
      <c r="D1388" s="154" t="s">
        <v>40</v>
      </c>
      <c r="E1388" s="151" t="s">
        <v>3657</v>
      </c>
      <c r="F1388" s="123">
        <f t="shared" si="1"/>
        <v>2</v>
      </c>
      <c r="G1388" s="121" t="s">
        <v>3658</v>
      </c>
      <c r="H1388" s="12"/>
      <c r="I1388" s="192" t="str">
        <f>IFERROR(__xludf.DUMMYFUNCTION("regexreplace(lower(C1388), ""_"", """")"),"dischargearrhythmia")</f>
        <v>dischargearrhythmia</v>
      </c>
      <c r="J1388" s="192" t="b">
        <f t="shared" si="60"/>
        <v>1</v>
      </c>
      <c r="K1388" s="192" t="str">
        <f>IFERROR(__xludf.DUMMYFUNCTION("regexreplace(G1388, ""_"", """")"),"dischargearrhythmia")</f>
        <v>dischargearrhythmia</v>
      </c>
      <c r="L13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""$1$2"")"),"discharge_arrhythmia")</f>
        <v>discharge_arrhythmia</v>
      </c>
      <c r="M1388" s="193"/>
      <c r="N1388" s="151"/>
      <c r="O1388" s="193"/>
      <c r="P1388" s="151" t="s">
        <v>3659</v>
      </c>
      <c r="Q1388" s="151" t="s">
        <v>3660</v>
      </c>
      <c r="R1388" s="207"/>
      <c r="S1388" s="207"/>
      <c r="T1388" s="193"/>
      <c r="U1388" s="193"/>
      <c r="V1388" s="193"/>
      <c r="W1388" s="193"/>
      <c r="X1388" s="193"/>
      <c r="Y1388" s="193"/>
      <c r="Z1388" s="193"/>
    </row>
    <row r="1389">
      <c r="A1389" s="33"/>
      <c r="B1389" s="33"/>
      <c r="C1389" s="12"/>
      <c r="D1389" s="12"/>
      <c r="E1389" s="15" t="s">
        <v>8405</v>
      </c>
      <c r="F1389" s="123">
        <f t="shared" si="1"/>
        <v>0</v>
      </c>
      <c r="G1389" s="12" t="s">
        <v>851</v>
      </c>
      <c r="H1389" s="12"/>
      <c r="I1389" s="12" t="str">
        <f>IFERROR(__xludf.DUMMYFUNCTION("regexreplace(lower(C1389), ""_"", """")"),"")</f>
        <v/>
      </c>
      <c r="J1389" s="12" t="b">
        <f t="shared" si="60"/>
        <v>1</v>
      </c>
      <c r="K1389" s="12" t="str">
        <f>IFERROR(__xludf.DUMMYFUNCTION("regexreplace(G1389, ""_"", """")"),"")</f>
        <v/>
      </c>
      <c r="L1389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1389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389" s="88"/>
      <c r="P1389" s="88"/>
      <c r="Q1389" s="88"/>
      <c r="R1389" s="88"/>
      <c r="S1389" s="88"/>
    </row>
    <row r="1390">
      <c r="A1390" s="329" t="s">
        <v>8390</v>
      </c>
      <c r="B1390" s="329" t="s">
        <v>824</v>
      </c>
      <c r="C1390" s="154" t="s">
        <v>3661</v>
      </c>
      <c r="D1390" s="154" t="s">
        <v>40</v>
      </c>
      <c r="E1390" s="151" t="s">
        <v>3662</v>
      </c>
      <c r="F1390" s="123">
        <f t="shared" si="1"/>
        <v>2</v>
      </c>
      <c r="G1390" s="121" t="s">
        <v>3663</v>
      </c>
      <c r="H1390" s="12"/>
      <c r="I1390" s="192" t="str">
        <f>IFERROR(__xludf.DUMMYFUNCTION("regexreplace(lower(C1390), ""_"", """")"),"dischargemeconiumaspirationsyndrome")</f>
        <v>dischargemeconiumaspirationsyndrome</v>
      </c>
      <c r="J1390" s="192" t="b">
        <f t="shared" si="60"/>
        <v>1</v>
      </c>
      <c r="K1390" s="192" t="str">
        <f>IFERROR(__xludf.DUMMYFUNCTION("regexreplace(G1390, ""_"", """")"),"dischargemeconiumaspirationsyndrome")</f>
        <v>dischargemeconiumaspirationsyndrome</v>
      </c>
      <c r="L13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""$1$2"")"),"discharge_meconium_aspiration_syndrome")</f>
        <v>discharge_meconium_aspiration_syndrome</v>
      </c>
      <c r="M1390" s="193"/>
      <c r="N1390" s="151"/>
      <c r="O1390" s="193"/>
      <c r="P1390" s="151" t="s">
        <v>3664</v>
      </c>
      <c r="Q1390" s="151" t="s">
        <v>3665</v>
      </c>
      <c r="R1390" s="207"/>
      <c r="S1390" s="207"/>
      <c r="T1390" s="193"/>
      <c r="U1390" s="193"/>
      <c r="V1390" s="193"/>
      <c r="W1390" s="193"/>
      <c r="X1390" s="193"/>
      <c r="Y1390" s="193"/>
      <c r="Z1390" s="193"/>
    </row>
    <row r="1391">
      <c r="A1391" s="329"/>
      <c r="B1391" s="329" t="s">
        <v>824</v>
      </c>
      <c r="C1391" s="154" t="s">
        <v>3666</v>
      </c>
      <c r="D1391" s="337" t="s">
        <v>40</v>
      </c>
      <c r="E1391" s="151" t="s">
        <v>3667</v>
      </c>
      <c r="F1391" s="123">
        <f t="shared" si="1"/>
        <v>2</v>
      </c>
      <c r="G1391" s="121" t="s">
        <v>3668</v>
      </c>
      <c r="H1391" s="12"/>
      <c r="I1391" s="192" t="str">
        <f>IFERROR(__xludf.DUMMYFUNCTION("regexreplace(lower(C1391), ""_"", """")"),"dischargepphn")</f>
        <v>dischargepphn</v>
      </c>
      <c r="J1391" s="192" t="b">
        <f t="shared" si="60"/>
        <v>1</v>
      </c>
      <c r="K1391" s="192" t="str">
        <f>IFERROR(__xludf.DUMMYFUNCTION("regexreplace(G1391, ""_"", """")"),"dischargepphn")</f>
        <v>dischargepphn</v>
      </c>
      <c r="L13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""$1$2"")"),"discharge_p_ph_n")</f>
        <v>discharge_p_ph_n</v>
      </c>
      <c r="M1391" s="193"/>
      <c r="N1391" s="151"/>
      <c r="O1391" s="193"/>
      <c r="P1391" s="151" t="s">
        <v>3669</v>
      </c>
      <c r="Q1391" s="151" t="s">
        <v>3670</v>
      </c>
      <c r="R1391" s="207"/>
      <c r="S1391" s="207"/>
      <c r="T1391" s="193"/>
      <c r="U1391" s="193"/>
      <c r="V1391" s="193"/>
      <c r="W1391" s="193"/>
      <c r="X1391" s="193"/>
      <c r="Y1391" s="193"/>
      <c r="Z1391" s="193"/>
    </row>
    <row r="1392">
      <c r="A1392" s="329"/>
      <c r="B1392" s="329" t="s">
        <v>824</v>
      </c>
      <c r="C1392" s="154" t="s">
        <v>3671</v>
      </c>
      <c r="D1392" s="337" t="s">
        <v>40</v>
      </c>
      <c r="E1392" s="151" t="s">
        <v>3672</v>
      </c>
      <c r="F1392" s="123">
        <f t="shared" si="1"/>
        <v>2</v>
      </c>
      <c r="G1392" s="121" t="s">
        <v>3673</v>
      </c>
      <c r="H1392" s="12"/>
      <c r="I1392" s="192" t="str">
        <f>IFERROR(__xludf.DUMMYFUNCTION("regexreplace(lower(C1392), ""_"", """")"),"dischargepulmonaryhemorrhage")</f>
        <v>dischargepulmonaryhemorrhage</v>
      </c>
      <c r="J1392" s="192" t="b">
        <f t="shared" si="60"/>
        <v>1</v>
      </c>
      <c r="K1392" s="192" t="str">
        <f>IFERROR(__xludf.DUMMYFUNCTION("regexreplace(G1392, ""_"", """")"),"dischargepulmonaryhemorrhage")</f>
        <v>dischargepulmonaryhemorrhage</v>
      </c>
      <c r="L13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""$1$2"")"),"discharge_pulmonary_hemorrhage")</f>
        <v>discharge_pulmonary_hemorrhage</v>
      </c>
      <c r="M1392" s="193"/>
      <c r="N1392" s="151"/>
      <c r="O1392" s="193"/>
      <c r="P1392" s="151" t="s">
        <v>3674</v>
      </c>
      <c r="Q1392" s="151" t="s">
        <v>3675</v>
      </c>
      <c r="R1392" s="207"/>
      <c r="S1392" s="207"/>
      <c r="T1392" s="193"/>
      <c r="U1392" s="193"/>
      <c r="V1392" s="193"/>
      <c r="W1392" s="193"/>
      <c r="X1392" s="193"/>
      <c r="Y1392" s="193"/>
      <c r="Z1392" s="193"/>
    </row>
    <row r="1393">
      <c r="A1393" s="329"/>
      <c r="B1393" s="329" t="s">
        <v>824</v>
      </c>
      <c r="C1393" s="154" t="s">
        <v>3676</v>
      </c>
      <c r="D1393" s="337" t="s">
        <v>40</v>
      </c>
      <c r="E1393" s="151" t="s">
        <v>3677</v>
      </c>
      <c r="F1393" s="123">
        <f t="shared" si="1"/>
        <v>2</v>
      </c>
      <c r="G1393" s="121" t="s">
        <v>3678</v>
      </c>
      <c r="H1393" s="12"/>
      <c r="I1393" s="192" t="str">
        <f>IFERROR(__xludf.DUMMYFUNCTION("regexreplace(lower(C1393), ""_"", """")"),"dischargepenumonia")</f>
        <v>dischargepenumonia</v>
      </c>
      <c r="J1393" s="192" t="b">
        <f t="shared" si="60"/>
        <v>1</v>
      </c>
      <c r="K1393" s="192" t="str">
        <f>IFERROR(__xludf.DUMMYFUNCTION("regexreplace(G1393, ""_"", """")"),"dischargepenumonia")</f>
        <v>dischargepenumonia</v>
      </c>
      <c r="L139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""$1$2"")"),"discharge_penumonia")</f>
        <v>discharge_penumonia</v>
      </c>
      <c r="M1393" s="193"/>
      <c r="N1393" s="151"/>
      <c r="O1393" s="193"/>
      <c r="P1393" s="151" t="s">
        <v>3679</v>
      </c>
      <c r="Q1393" s="151" t="s">
        <v>3680</v>
      </c>
      <c r="R1393" s="207"/>
      <c r="S1393" s="207"/>
      <c r="T1393" s="193"/>
      <c r="U1393" s="193"/>
      <c r="V1393" s="193"/>
      <c r="W1393" s="193"/>
      <c r="X1393" s="193"/>
      <c r="Y1393" s="193"/>
      <c r="Z1393" s="193"/>
    </row>
    <row r="1394">
      <c r="A1394" s="329"/>
      <c r="B1394" s="329" t="s">
        <v>824</v>
      </c>
      <c r="C1394" s="154" t="s">
        <v>3681</v>
      </c>
      <c r="D1394" s="337" t="s">
        <v>40</v>
      </c>
      <c r="E1394" s="151" t="s">
        <v>3682</v>
      </c>
      <c r="F1394" s="123">
        <f t="shared" si="1"/>
        <v>2</v>
      </c>
      <c r="G1394" s="121" t="s">
        <v>3683</v>
      </c>
      <c r="H1394" s="12"/>
      <c r="I1394" s="192" t="str">
        <f>IFERROR(__xludf.DUMMYFUNCTION("regexreplace(lower(C1394), ""_"", """")"),"dischargechroniclungdisease")</f>
        <v>dischargechroniclungdisease</v>
      </c>
      <c r="J1394" s="192" t="b">
        <f t="shared" si="60"/>
        <v>1</v>
      </c>
      <c r="K1394" s="192" t="str">
        <f>IFERROR(__xludf.DUMMYFUNCTION("regexreplace(G1394, ""_"", """")"),"dischargechroniclungdisease")</f>
        <v>dischargechroniclungdisease</v>
      </c>
      <c r="L13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""$1$2"")"),"discharge_chronic_lung_disease")</f>
        <v>discharge_chronic_lung_disease</v>
      </c>
      <c r="M1394" s="193"/>
      <c r="N1394" s="151"/>
      <c r="O1394" s="193"/>
      <c r="P1394" s="151" t="s">
        <v>3684</v>
      </c>
      <c r="Q1394" s="151" t="s">
        <v>3685</v>
      </c>
      <c r="R1394" s="207"/>
      <c r="S1394" s="207"/>
      <c r="T1394" s="193"/>
      <c r="U1394" s="193"/>
      <c r="V1394" s="193"/>
      <c r="W1394" s="193"/>
      <c r="X1394" s="193"/>
      <c r="Y1394" s="193"/>
      <c r="Z1394" s="193"/>
    </row>
    <row r="1395">
      <c r="A1395" s="329"/>
      <c r="B1395" s="329" t="s">
        <v>824</v>
      </c>
      <c r="C1395" s="154" t="s">
        <v>3686</v>
      </c>
      <c r="D1395" s="337" t="s">
        <v>40</v>
      </c>
      <c r="E1395" s="151" t="s">
        <v>3687</v>
      </c>
      <c r="F1395" s="123">
        <f t="shared" si="1"/>
        <v>2</v>
      </c>
      <c r="G1395" s="121" t="s">
        <v>3688</v>
      </c>
      <c r="H1395" s="12"/>
      <c r="I1395" s="192" t="str">
        <f>IFERROR(__xludf.DUMMYFUNCTION("regexreplace(lower(C1395), ""_"", """")"),"dischargeecmo")</f>
        <v>dischargeecmo</v>
      </c>
      <c r="J1395" s="192" t="b">
        <f t="shared" si="60"/>
        <v>1</v>
      </c>
      <c r="K1395" s="192" t="str">
        <f>IFERROR(__xludf.DUMMYFUNCTION("regexreplace(G1395, ""_"", """")"),"dischargeecmo")</f>
        <v>dischargeecmo</v>
      </c>
      <c r="L13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""$1$2"")"),"discharge_ecmo")</f>
        <v>discharge_ecmo</v>
      </c>
      <c r="M1395" s="193"/>
      <c r="N1395" s="151"/>
      <c r="O1395" s="193"/>
      <c r="P1395" s="151" t="s">
        <v>3689</v>
      </c>
      <c r="Q1395" s="151" t="s">
        <v>3690</v>
      </c>
      <c r="R1395" s="207"/>
      <c r="S1395" s="207"/>
      <c r="T1395" s="193"/>
      <c r="U1395" s="193"/>
      <c r="V1395" s="193"/>
      <c r="W1395" s="193"/>
      <c r="X1395" s="193"/>
      <c r="Y1395" s="193"/>
      <c r="Z1395" s="193"/>
    </row>
    <row r="1396">
      <c r="A1396" s="329"/>
      <c r="B1396" s="329" t="s">
        <v>824</v>
      </c>
      <c r="C1396" s="154" t="s">
        <v>3691</v>
      </c>
      <c r="D1396" s="337" t="s">
        <v>40</v>
      </c>
      <c r="E1396" s="151" t="s">
        <v>3692</v>
      </c>
      <c r="F1396" s="123">
        <f t="shared" si="1"/>
        <v>2</v>
      </c>
      <c r="G1396" s="121" t="s">
        <v>3693</v>
      </c>
      <c r="H1396" s="12"/>
      <c r="I1396" s="192" t="str">
        <f>IFERROR(__xludf.DUMMYFUNCTION("regexreplace(lower(C1396), ""_"", """")"),"dischargeino")</f>
        <v>dischargeino</v>
      </c>
      <c r="J1396" s="192" t="b">
        <f t="shared" si="60"/>
        <v>1</v>
      </c>
      <c r="K1396" s="192" t="str">
        <f>IFERROR(__xludf.DUMMYFUNCTION("regexreplace(G1396, ""_"", """")"),"dischargeino")</f>
        <v>dischargeino</v>
      </c>
      <c r="L13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""$1$2"")"),"discharge_i_n_o")</f>
        <v>discharge_i_n_o</v>
      </c>
      <c r="M1396" s="193"/>
      <c r="N1396" s="151"/>
      <c r="O1396" s="193"/>
      <c r="P1396" s="151" t="s">
        <v>3694</v>
      </c>
      <c r="Q1396" s="151" t="s">
        <v>3695</v>
      </c>
      <c r="R1396" s="207"/>
      <c r="S1396" s="207"/>
      <c r="T1396" s="193"/>
      <c r="U1396" s="193"/>
      <c r="V1396" s="193"/>
      <c r="W1396" s="193"/>
      <c r="X1396" s="193"/>
      <c r="Y1396" s="193"/>
      <c r="Z1396" s="193"/>
    </row>
    <row r="1397">
      <c r="A1397" s="329"/>
      <c r="B1397" s="329" t="s">
        <v>824</v>
      </c>
      <c r="C1397" s="154" t="s">
        <v>3696</v>
      </c>
      <c r="D1397" s="337" t="s">
        <v>31</v>
      </c>
      <c r="E1397" s="151" t="s">
        <v>3697</v>
      </c>
      <c r="F1397" s="123">
        <f t="shared" si="1"/>
        <v>2</v>
      </c>
      <c r="G1397" s="121" t="s">
        <v>3698</v>
      </c>
      <c r="H1397" s="12"/>
      <c r="I1397" s="192" t="str">
        <f>IFERROR(__xludf.DUMMYFUNCTION("regexreplace(lower(C1397), ""_"", """")"),"dischargeventilatorday")</f>
        <v>dischargeventilatorday</v>
      </c>
      <c r="J1397" s="192" t="b">
        <f t="shared" si="60"/>
        <v>1</v>
      </c>
      <c r="K1397" s="192" t="str">
        <f>IFERROR(__xludf.DUMMYFUNCTION("regexreplace(G1397, ""_"", """")"),"dischargeventilatorday")</f>
        <v>dischargeventilatorday</v>
      </c>
      <c r="L13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""$1$2"")"),"discharge_ventilator_day")</f>
        <v>discharge_ventilator_day</v>
      </c>
      <c r="M1397" s="193"/>
      <c r="N1397" s="151"/>
      <c r="O1397" s="193"/>
      <c r="P1397" s="151" t="s">
        <v>3699</v>
      </c>
      <c r="Q1397" s="151" t="s">
        <v>3700</v>
      </c>
      <c r="R1397" s="207"/>
      <c r="S1397" s="207"/>
      <c r="T1397" s="193"/>
      <c r="U1397" s="193"/>
      <c r="V1397" s="193"/>
      <c r="W1397" s="193"/>
      <c r="X1397" s="193"/>
      <c r="Y1397" s="193"/>
      <c r="Z1397" s="193"/>
    </row>
    <row r="1398">
      <c r="A1398" s="329"/>
      <c r="B1398" s="329" t="s">
        <v>824</v>
      </c>
      <c r="C1398" s="154" t="s">
        <v>3701</v>
      </c>
      <c r="D1398" s="337" t="s">
        <v>31</v>
      </c>
      <c r="E1398" s="151" t="s">
        <v>3702</v>
      </c>
      <c r="F1398" s="123">
        <f t="shared" si="1"/>
        <v>2</v>
      </c>
      <c r="G1398" s="121" t="s">
        <v>3703</v>
      </c>
      <c r="H1398" s="12"/>
      <c r="I1398" s="192" t="str">
        <f>IFERROR(__xludf.DUMMYFUNCTION("regexreplace(lower(C1398), ""_"", """")"),"dischargeoxygenday")</f>
        <v>dischargeoxygenday</v>
      </c>
      <c r="J1398" s="192" t="b">
        <f t="shared" si="60"/>
        <v>1</v>
      </c>
      <c r="K1398" s="192" t="str">
        <f>IFERROR(__xludf.DUMMYFUNCTION("regexreplace(G1398, ""_"", """")"),"dischargeoxygenday")</f>
        <v>dischargeoxygenday</v>
      </c>
      <c r="L13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""$1$2"")"),"discharge_oxygen_day")</f>
        <v>discharge_oxygen_day</v>
      </c>
      <c r="M1398" s="193"/>
      <c r="N1398" s="151"/>
      <c r="O1398" s="193"/>
      <c r="P1398" s="151" t="s">
        <v>3704</v>
      </c>
      <c r="Q1398" s="151" t="s">
        <v>3705</v>
      </c>
      <c r="R1398" s="207"/>
      <c r="S1398" s="207"/>
      <c r="T1398" s="193"/>
      <c r="U1398" s="193"/>
      <c r="V1398" s="193"/>
      <c r="W1398" s="193"/>
      <c r="X1398" s="193"/>
      <c r="Y1398" s="193"/>
      <c r="Z1398" s="193"/>
    </row>
    <row r="1399">
      <c r="A1399" s="329"/>
      <c r="B1399" s="329" t="s">
        <v>824</v>
      </c>
      <c r="C1399" s="154" t="s">
        <v>3706</v>
      </c>
      <c r="D1399" s="337" t="s">
        <v>31</v>
      </c>
      <c r="E1399" s="151" t="s">
        <v>3707</v>
      </c>
      <c r="F1399" s="123">
        <f t="shared" si="1"/>
        <v>2</v>
      </c>
      <c r="G1399" s="121" t="s">
        <v>3708</v>
      </c>
      <c r="H1399" s="12"/>
      <c r="I1399" s="192" t="str">
        <f>IFERROR(__xludf.DUMMYFUNCTION("regexreplace(lower(C1399), ""_"", """")"),"dischargecpapday")</f>
        <v>dischargecpapday</v>
      </c>
      <c r="J1399" s="192" t="b">
        <f t="shared" si="60"/>
        <v>1</v>
      </c>
      <c r="K1399" s="192" t="str">
        <f>IFERROR(__xludf.DUMMYFUNCTION("regexreplace(G1399, ""_"", """")"),"dischargecpapday")</f>
        <v>dischargecpapday</v>
      </c>
      <c r="L13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1399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""$1$2"")"),"discharge_cpap_day")</f>
        <v>discharge_cpap_day</v>
      </c>
      <c r="M1399" s="193"/>
      <c r="N1399" s="151"/>
      <c r="O1399" s="193"/>
      <c r="P1399" s="151" t="s">
        <v>3709</v>
      </c>
      <c r="Q1399" s="151" t="s">
        <v>3710</v>
      </c>
      <c r="R1399" s="207"/>
      <c r="S1399" s="207"/>
      <c r="T1399" s="193"/>
      <c r="U1399" s="193"/>
      <c r="V1399" s="193"/>
      <c r="W1399" s="193"/>
      <c r="X1399" s="193"/>
      <c r="Y1399" s="193"/>
      <c r="Z1399" s="193"/>
    </row>
    <row r="1400">
      <c r="A1400" s="329"/>
      <c r="B1400" s="329" t="s">
        <v>824</v>
      </c>
      <c r="C1400" s="154" t="s">
        <v>3711</v>
      </c>
      <c r="D1400" s="337" t="s">
        <v>26</v>
      </c>
      <c r="E1400" s="151" t="s">
        <v>3712</v>
      </c>
      <c r="F1400" s="123">
        <f t="shared" si="1"/>
        <v>1</v>
      </c>
      <c r="G1400" s="121" t="s">
        <v>3713</v>
      </c>
      <c r="H1400" s="12"/>
      <c r="I1400" s="192" t="str">
        <f>IFERROR(__xludf.DUMMYFUNCTION("regexreplace(lower(C1400), ""_"", """")"),"dischargepulmonarystartdate1")</f>
        <v>dischargepulmonarystartdate1</v>
      </c>
      <c r="J1400" s="192" t="b">
        <f t="shared" si="60"/>
        <v>1</v>
      </c>
      <c r="K1400" s="192" t="str">
        <f>IFERROR(__xludf.DUMMYFUNCTION("regexreplace(G1400, ""_"", """")"),"dischargepulmonarystartdate1")</f>
        <v>dischargepulmonarystartdate1</v>
      </c>
      <c r="L14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""$1$2"")"),"discharge_pulmonary_start_date1")</f>
        <v>discharge_pulmonary_start_date1</v>
      </c>
      <c r="M1400" s="193"/>
      <c r="N1400" s="151"/>
      <c r="O1400" s="193"/>
      <c r="P1400" s="151" t="s">
        <v>3714</v>
      </c>
      <c r="Q1400" s="207"/>
      <c r="R1400" s="207"/>
      <c r="S1400" s="207"/>
      <c r="T1400" s="193"/>
      <c r="U1400" s="193"/>
      <c r="V1400" s="193"/>
      <c r="W1400" s="193"/>
      <c r="X1400" s="193"/>
      <c r="Y1400" s="193"/>
      <c r="Z1400" s="193"/>
    </row>
    <row r="1401">
      <c r="A1401" s="329"/>
      <c r="B1401" s="329" t="s">
        <v>824</v>
      </c>
      <c r="C1401" s="154" t="s">
        <v>3715</v>
      </c>
      <c r="D1401" s="337" t="s">
        <v>145</v>
      </c>
      <c r="E1401" s="151" t="s">
        <v>3716</v>
      </c>
      <c r="F1401" s="123">
        <f t="shared" si="1"/>
        <v>1</v>
      </c>
      <c r="G1401" s="121" t="s">
        <v>3717</v>
      </c>
      <c r="H1401" s="12"/>
      <c r="I1401" s="192" t="str">
        <f>IFERROR(__xludf.DUMMYFUNCTION("regexreplace(lower(C1401), ""_"", """")"),"dischargepulmonarystarttime1")</f>
        <v>dischargepulmonarystarttime1</v>
      </c>
      <c r="J1401" s="192" t="b">
        <f t="shared" si="60"/>
        <v>1</v>
      </c>
      <c r="K1401" s="192" t="str">
        <f>IFERROR(__xludf.DUMMYFUNCTION("regexreplace(G1401, ""_"", """")"),"dischargepulmonarystarttime1")</f>
        <v>dischargepulmonarystarttime1</v>
      </c>
      <c r="L14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""$1$2"")"),"discharge_pulmonary_start_time1")</f>
        <v>discharge_pulmonary_start_time1</v>
      </c>
      <c r="M1401" s="193"/>
      <c r="N1401" s="151"/>
      <c r="O1401" s="193"/>
      <c r="P1401" s="151" t="s">
        <v>3718</v>
      </c>
      <c r="Q1401" s="193"/>
      <c r="R1401" s="207"/>
      <c r="S1401" s="207"/>
      <c r="T1401" s="193"/>
      <c r="U1401" s="193"/>
      <c r="V1401" s="193"/>
      <c r="W1401" s="193"/>
      <c r="X1401" s="193"/>
      <c r="Y1401" s="193"/>
      <c r="Z1401" s="193"/>
    </row>
    <row r="1402">
      <c r="A1402" s="329"/>
      <c r="B1402" s="329" t="s">
        <v>824</v>
      </c>
      <c r="C1402" s="154" t="s">
        <v>3719</v>
      </c>
      <c r="D1402" s="337" t="s">
        <v>26</v>
      </c>
      <c r="E1402" s="151" t="s">
        <v>3720</v>
      </c>
      <c r="F1402" s="123">
        <f t="shared" si="1"/>
        <v>1</v>
      </c>
      <c r="G1402" s="121" t="s">
        <v>3721</v>
      </c>
      <c r="H1402" s="12"/>
      <c r="I1402" s="192" t="str">
        <f>IFERROR(__xludf.DUMMYFUNCTION("regexreplace(lower(C1402), ""_"", """")"),"dischargepulmonaryenddate1")</f>
        <v>dischargepulmonaryenddate1</v>
      </c>
      <c r="J1402" s="192" t="b">
        <f t="shared" si="60"/>
        <v>1</v>
      </c>
      <c r="K1402" s="192" t="str">
        <f>IFERROR(__xludf.DUMMYFUNCTION("regexreplace(G1402, ""_"", """")"),"dischargepulmonaryenddate1")</f>
        <v>dischargepulmonaryenddate1</v>
      </c>
      <c r="L14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""$1$2"")"),"discharge_pulmonary_end_date1")</f>
        <v>discharge_pulmonary_end_date1</v>
      </c>
      <c r="M1402" s="193"/>
      <c r="N1402" s="151"/>
      <c r="O1402" s="193"/>
      <c r="P1402" s="151" t="s">
        <v>3722</v>
      </c>
      <c r="Q1402" s="207"/>
      <c r="R1402" s="207"/>
      <c r="S1402" s="207"/>
      <c r="T1402" s="193"/>
      <c r="U1402" s="193"/>
      <c r="V1402" s="193"/>
      <c r="W1402" s="193"/>
      <c r="X1402" s="193"/>
      <c r="Y1402" s="193"/>
      <c r="Z1402" s="193"/>
    </row>
    <row r="1403">
      <c r="A1403" s="329"/>
      <c r="B1403" s="329" t="s">
        <v>824</v>
      </c>
      <c r="C1403" s="154" t="s">
        <v>3723</v>
      </c>
      <c r="D1403" s="337" t="s">
        <v>145</v>
      </c>
      <c r="E1403" s="151" t="s">
        <v>3724</v>
      </c>
      <c r="F1403" s="123">
        <f t="shared" si="1"/>
        <v>1</v>
      </c>
      <c r="G1403" s="121" t="s">
        <v>3725</v>
      </c>
      <c r="H1403" s="12"/>
      <c r="I1403" s="192" t="str">
        <f>IFERROR(__xludf.DUMMYFUNCTION("regexreplace(lower(C1403), ""_"", """")"),"dischargepulmonaryendtime1")</f>
        <v>dischargepulmonaryendtime1</v>
      </c>
      <c r="J1403" s="192" t="b">
        <f t="shared" si="60"/>
        <v>1</v>
      </c>
      <c r="K1403" s="192" t="str">
        <f>IFERROR(__xludf.DUMMYFUNCTION("regexreplace(G1403, ""_"", """")"),"dischargepulmonaryendtime1")</f>
        <v>dischargepulmonaryendtime1</v>
      </c>
      <c r="L14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""$1$2"")"),"discharge_pulmonary_end_time1")</f>
        <v>discharge_pulmonary_end_time1</v>
      </c>
      <c r="M1403" s="193"/>
      <c r="N1403" s="151"/>
      <c r="O1403" s="193"/>
      <c r="P1403" s="151" t="s">
        <v>3726</v>
      </c>
      <c r="Q1403" s="207"/>
      <c r="R1403" s="207"/>
      <c r="S1403" s="207"/>
      <c r="T1403" s="193"/>
      <c r="U1403" s="193"/>
      <c r="V1403" s="193"/>
      <c r="W1403" s="193"/>
      <c r="X1403" s="193"/>
      <c r="Y1403" s="193"/>
      <c r="Z1403" s="193"/>
    </row>
    <row r="1404">
      <c r="A1404" s="329"/>
      <c r="B1404" s="329" t="s">
        <v>824</v>
      </c>
      <c r="C1404" s="154" t="s">
        <v>3727</v>
      </c>
      <c r="D1404" s="337" t="s">
        <v>26</v>
      </c>
      <c r="E1404" s="151" t="s">
        <v>3728</v>
      </c>
      <c r="F1404" s="123">
        <f t="shared" si="1"/>
        <v>1</v>
      </c>
      <c r="G1404" s="121" t="s">
        <v>3729</v>
      </c>
      <c r="H1404" s="12"/>
      <c r="I1404" s="192" t="str">
        <f>IFERROR(__xludf.DUMMYFUNCTION("regexreplace(lower(C1404), ""_"", """")"),"dischargepulmonarystartdate2")</f>
        <v>dischargepulmonarystartdate2</v>
      </c>
      <c r="J1404" s="192" t="b">
        <f t="shared" si="60"/>
        <v>1</v>
      </c>
      <c r="K1404" s="192" t="str">
        <f>IFERROR(__xludf.DUMMYFUNCTION("regexreplace(G1404, ""_"", """")"),"dischargepulmonarystartdate2")</f>
        <v>dischargepulmonarystartdate2</v>
      </c>
      <c r="L14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""$1$2"")"),"discharge_pulmonary_start_date2")</f>
        <v>discharge_pulmonary_start_date2</v>
      </c>
      <c r="M1404" s="193"/>
      <c r="N1404" s="151"/>
      <c r="O1404" s="193"/>
      <c r="P1404" s="151" t="s">
        <v>3730</v>
      </c>
      <c r="Q1404" s="207"/>
      <c r="R1404" s="207"/>
      <c r="S1404" s="207"/>
      <c r="T1404" s="193"/>
      <c r="U1404" s="193"/>
      <c r="V1404" s="193"/>
      <c r="W1404" s="193"/>
      <c r="X1404" s="193"/>
      <c r="Y1404" s="193"/>
      <c r="Z1404" s="193"/>
    </row>
    <row r="1405">
      <c r="A1405" s="329"/>
      <c r="B1405" s="329" t="s">
        <v>824</v>
      </c>
      <c r="C1405" s="154" t="s">
        <v>3731</v>
      </c>
      <c r="D1405" s="337" t="s">
        <v>145</v>
      </c>
      <c r="E1405" s="151" t="s">
        <v>3732</v>
      </c>
      <c r="F1405" s="123">
        <f t="shared" si="1"/>
        <v>1</v>
      </c>
      <c r="G1405" s="121" t="s">
        <v>3733</v>
      </c>
      <c r="H1405" s="12"/>
      <c r="I1405" s="192" t="str">
        <f>IFERROR(__xludf.DUMMYFUNCTION("regexreplace(lower(C1405), ""_"", """")"),"dischargepulmonarystarttime2")</f>
        <v>dischargepulmonarystarttime2</v>
      </c>
      <c r="J1405" s="192" t="b">
        <f t="shared" si="60"/>
        <v>1</v>
      </c>
      <c r="K1405" s="192" t="str">
        <f>IFERROR(__xludf.DUMMYFUNCTION("regexreplace(G1405, ""_"", """")"),"dischargepulmonarystarttime2")</f>
        <v>dischargepulmonarystarttime2</v>
      </c>
      <c r="L14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""$1$2"")"),"discharge_pulmonary_start_time2")</f>
        <v>discharge_pulmonary_start_time2</v>
      </c>
      <c r="M1405" s="193"/>
      <c r="N1405" s="151"/>
      <c r="O1405" s="193"/>
      <c r="P1405" s="151" t="s">
        <v>3734</v>
      </c>
      <c r="Q1405" s="207"/>
      <c r="R1405" s="207"/>
      <c r="S1405" s="207"/>
      <c r="T1405" s="193"/>
      <c r="U1405" s="193"/>
      <c r="V1405" s="193"/>
      <c r="W1405" s="193"/>
      <c r="X1405" s="193"/>
      <c r="Y1405" s="193"/>
      <c r="Z1405" s="193"/>
    </row>
    <row r="1406">
      <c r="A1406" s="329"/>
      <c r="B1406" s="329" t="s">
        <v>824</v>
      </c>
      <c r="C1406" s="154" t="s">
        <v>3735</v>
      </c>
      <c r="D1406" s="154" t="s">
        <v>26</v>
      </c>
      <c r="E1406" s="151" t="s">
        <v>3736</v>
      </c>
      <c r="F1406" s="123">
        <f t="shared" si="1"/>
        <v>1</v>
      </c>
      <c r="G1406" s="121" t="s">
        <v>3737</v>
      </c>
      <c r="H1406" s="12"/>
      <c r="I1406" s="192" t="str">
        <f>IFERROR(__xludf.DUMMYFUNCTION("regexreplace(lower(C1406), ""_"", """")"),"dischargepulmonaryenddate2")</f>
        <v>dischargepulmonaryenddate2</v>
      </c>
      <c r="J1406" s="192" t="b">
        <f t="shared" si="60"/>
        <v>1</v>
      </c>
      <c r="K1406" s="192" t="str">
        <f>IFERROR(__xludf.DUMMYFUNCTION("regexreplace(G1406, ""_"", """")"),"dischargepulmonaryenddate2")</f>
        <v>dischargepulmonaryenddate2</v>
      </c>
      <c r="L14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""$1$2"")"),"discharge_pulmonary_end_date2")</f>
        <v>discharge_pulmonary_end_date2</v>
      </c>
      <c r="M1406" s="193"/>
      <c r="N1406" s="151"/>
      <c r="O1406" s="193"/>
      <c r="P1406" s="151" t="s">
        <v>3738</v>
      </c>
      <c r="Q1406" s="207"/>
      <c r="R1406" s="207"/>
      <c r="S1406" s="207"/>
      <c r="T1406" s="193"/>
      <c r="U1406" s="193"/>
      <c r="V1406" s="193"/>
      <c r="W1406" s="193"/>
      <c r="X1406" s="193"/>
      <c r="Y1406" s="193"/>
      <c r="Z1406" s="193"/>
    </row>
    <row r="1407">
      <c r="A1407" s="329"/>
      <c r="B1407" s="329" t="s">
        <v>824</v>
      </c>
      <c r="C1407" s="154" t="s">
        <v>3739</v>
      </c>
      <c r="D1407" s="154" t="s">
        <v>145</v>
      </c>
      <c r="E1407" s="151" t="s">
        <v>3740</v>
      </c>
      <c r="F1407" s="123">
        <f t="shared" si="1"/>
        <v>1</v>
      </c>
      <c r="G1407" s="121" t="s">
        <v>3741</v>
      </c>
      <c r="H1407" s="12"/>
      <c r="I1407" s="192" t="str">
        <f>IFERROR(__xludf.DUMMYFUNCTION("regexreplace(lower(C1407), ""_"", """")"),"dischargepulmonaryendtime2")</f>
        <v>dischargepulmonaryendtime2</v>
      </c>
      <c r="J1407" s="192" t="b">
        <f t="shared" si="60"/>
        <v>1</v>
      </c>
      <c r="K1407" s="192" t="str">
        <f>IFERROR(__xludf.DUMMYFUNCTION("regexreplace(G1407, ""_"", """")"),"dischargepulmonaryendtime2")</f>
        <v>dischargepulmonaryendtime2</v>
      </c>
      <c r="L14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""$1$2"")"),"discharge_pulmonary_end_time2")</f>
        <v>discharge_pulmonary_end_time2</v>
      </c>
      <c r="M1407" s="193"/>
      <c r="N1407" s="151"/>
      <c r="O1407" s="193"/>
      <c r="P1407" s="151" t="s">
        <v>3742</v>
      </c>
      <c r="Q1407" s="207"/>
      <c r="R1407" s="207"/>
      <c r="S1407" s="207"/>
      <c r="T1407" s="193"/>
      <c r="U1407" s="193"/>
      <c r="V1407" s="193"/>
      <c r="W1407" s="193"/>
      <c r="X1407" s="193"/>
      <c r="Y1407" s="193"/>
      <c r="Z1407" s="193"/>
    </row>
    <row r="1408">
      <c r="A1408" s="329"/>
      <c r="B1408" s="329" t="s">
        <v>824</v>
      </c>
      <c r="C1408" s="154" t="s">
        <v>3743</v>
      </c>
      <c r="D1408" s="154" t="s">
        <v>26</v>
      </c>
      <c r="E1408" s="151" t="s">
        <v>3744</v>
      </c>
      <c r="F1408" s="123">
        <f t="shared" si="1"/>
        <v>1</v>
      </c>
      <c r="G1408" s="121" t="s">
        <v>3745</v>
      </c>
      <c r="H1408" s="12"/>
      <c r="I1408" s="192" t="str">
        <f>IFERROR(__xludf.DUMMYFUNCTION("regexreplace(lower(C1408), ""_"", """")"),"dischargepulmonarystartdate3")</f>
        <v>dischargepulmonarystartdate3</v>
      </c>
      <c r="J1408" s="192" t="b">
        <f t="shared" si="60"/>
        <v>1</v>
      </c>
      <c r="K1408" s="192" t="str">
        <f>IFERROR(__xludf.DUMMYFUNCTION("regexreplace(G1408, ""_"", """")"),"dischargepulmonarystartdate3")</f>
        <v>dischargepulmonarystartdate3</v>
      </c>
      <c r="L14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""$1$2"")"),"discharge_pulmonary_start_date3")</f>
        <v>discharge_pulmonary_start_date3</v>
      </c>
      <c r="M1408" s="193"/>
      <c r="N1408" s="151"/>
      <c r="O1408" s="193"/>
      <c r="P1408" s="151" t="s">
        <v>3746</v>
      </c>
      <c r="Q1408" s="207"/>
      <c r="R1408" s="207"/>
      <c r="S1408" s="207"/>
      <c r="T1408" s="193"/>
      <c r="U1408" s="193"/>
      <c r="V1408" s="193"/>
      <c r="W1408" s="193"/>
      <c r="X1408" s="193"/>
      <c r="Y1408" s="193"/>
      <c r="Z1408" s="193"/>
    </row>
    <row r="1409">
      <c r="A1409" s="329"/>
      <c r="B1409" s="329" t="s">
        <v>824</v>
      </c>
      <c r="C1409" s="154" t="s">
        <v>3747</v>
      </c>
      <c r="D1409" s="154" t="s">
        <v>145</v>
      </c>
      <c r="E1409" s="151" t="s">
        <v>3748</v>
      </c>
      <c r="F1409" s="123">
        <f t="shared" si="1"/>
        <v>1</v>
      </c>
      <c r="G1409" s="121" t="s">
        <v>3749</v>
      </c>
      <c r="H1409" s="12"/>
      <c r="I1409" s="192" t="str">
        <f>IFERROR(__xludf.DUMMYFUNCTION("regexreplace(lower(C1409), ""_"", """")"),"dischargepulmonarystarttime3")</f>
        <v>dischargepulmonarystarttime3</v>
      </c>
      <c r="J1409" s="192" t="b">
        <f t="shared" si="60"/>
        <v>1</v>
      </c>
      <c r="K1409" s="192" t="str">
        <f>IFERROR(__xludf.DUMMYFUNCTION("regexreplace(G1409, ""_"", """")"),"dischargepulmonarystarttime3")</f>
        <v>dischargepulmonarystarttime3</v>
      </c>
      <c r="L14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1409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""$1$2"")"),"discharge_pulmonary_start_time3")</f>
        <v>discharge_pulmonary_start_time3</v>
      </c>
      <c r="M1409" s="193"/>
      <c r="N1409" s="151"/>
      <c r="O1409" s="193"/>
      <c r="P1409" s="151" t="s">
        <v>3750</v>
      </c>
      <c r="Q1409" s="207"/>
      <c r="R1409" s="207"/>
      <c r="S1409" s="207"/>
      <c r="T1409" s="193"/>
      <c r="U1409" s="193"/>
      <c r="V1409" s="193"/>
      <c r="W1409" s="193"/>
      <c r="X1409" s="193"/>
      <c r="Y1409" s="193"/>
      <c r="Z1409" s="193"/>
    </row>
    <row r="1410">
      <c r="A1410" s="329"/>
      <c r="B1410" s="329" t="s">
        <v>824</v>
      </c>
      <c r="C1410" s="154" t="s">
        <v>3751</v>
      </c>
      <c r="D1410" s="154" t="s">
        <v>26</v>
      </c>
      <c r="E1410" s="151" t="s">
        <v>3752</v>
      </c>
      <c r="F1410" s="123">
        <f t="shared" si="1"/>
        <v>1</v>
      </c>
      <c r="G1410" s="121" t="s">
        <v>3753</v>
      </c>
      <c r="H1410" s="12"/>
      <c r="I1410" s="192" t="str">
        <f>IFERROR(__xludf.DUMMYFUNCTION("regexreplace(lower(C1410), ""_"", """")"),"dischargepulmonaryenddate3")</f>
        <v>dischargepulmonaryenddate3</v>
      </c>
      <c r="J1410" s="192" t="b">
        <f t="shared" si="60"/>
        <v>1</v>
      </c>
      <c r="K1410" s="192" t="str">
        <f>IFERROR(__xludf.DUMMYFUNCTION("regexreplace(G1410, ""_"", """")"),"dischargepulmonaryenddate3")</f>
        <v>dischargepulmonaryenddate3</v>
      </c>
      <c r="L14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""$1$2"")"),"discharge_pulmonary_end_date3")</f>
        <v>discharge_pulmonary_end_date3</v>
      </c>
      <c r="M1410" s="193"/>
      <c r="N1410" s="151"/>
      <c r="O1410" s="193"/>
      <c r="P1410" s="151" t="s">
        <v>3754</v>
      </c>
      <c r="Q1410" s="207"/>
      <c r="R1410" s="207"/>
      <c r="S1410" s="207"/>
      <c r="T1410" s="193"/>
      <c r="U1410" s="193"/>
      <c r="V1410" s="193"/>
      <c r="W1410" s="193"/>
      <c r="X1410" s="193"/>
      <c r="Y1410" s="193"/>
      <c r="Z1410" s="193"/>
    </row>
    <row r="1411">
      <c r="A1411" s="329"/>
      <c r="B1411" s="329" t="s">
        <v>824</v>
      </c>
      <c r="C1411" s="154" t="s">
        <v>3755</v>
      </c>
      <c r="D1411" s="154" t="s">
        <v>145</v>
      </c>
      <c r="E1411" s="151" t="s">
        <v>3756</v>
      </c>
      <c r="F1411" s="123">
        <f t="shared" si="1"/>
        <v>1</v>
      </c>
      <c r="G1411" s="121" t="s">
        <v>3757</v>
      </c>
      <c r="H1411" s="12"/>
      <c r="I1411" s="192" t="str">
        <f>IFERROR(__xludf.DUMMYFUNCTION("regexreplace(lower(C1411), ""_"", """")"),"dischargepulmonaryendtime3")</f>
        <v>dischargepulmonaryendtime3</v>
      </c>
      <c r="J1411" s="192" t="b">
        <f t="shared" si="60"/>
        <v>1</v>
      </c>
      <c r="K1411" s="192" t="str">
        <f>IFERROR(__xludf.DUMMYFUNCTION("regexreplace(G1411, ""_"", """")"),"dischargepulmonaryendtime3")</f>
        <v>dischargepulmonaryendtime3</v>
      </c>
      <c r="L14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""$1$2"")"),"discharge_pulmonary_end_time3")</f>
        <v>discharge_pulmonary_end_time3</v>
      </c>
      <c r="M1411" s="193"/>
      <c r="N1411" s="151"/>
      <c r="O1411" s="193"/>
      <c r="P1411" s="151" t="s">
        <v>3758</v>
      </c>
      <c r="Q1411" s="207"/>
      <c r="R1411" s="207"/>
      <c r="S1411" s="207"/>
      <c r="T1411" s="193"/>
      <c r="U1411" s="193"/>
      <c r="V1411" s="193"/>
      <c r="W1411" s="193"/>
      <c r="X1411" s="193"/>
      <c r="Y1411" s="193"/>
      <c r="Z1411" s="193"/>
    </row>
    <row r="1412">
      <c r="A1412" s="33"/>
      <c r="B1412" s="33"/>
      <c r="C1412" s="12"/>
      <c r="D1412" s="12"/>
      <c r="E1412" s="15"/>
      <c r="F1412" s="123">
        <f t="shared" si="1"/>
        <v>0</v>
      </c>
      <c r="G1412" s="12" t="s">
        <v>851</v>
      </c>
      <c r="H1412" s="12"/>
      <c r="I1412" s="12" t="str">
        <f>IFERROR(__xludf.DUMMYFUNCTION("regexreplace(lower(C1412), ""_"", """")"),"")</f>
        <v/>
      </c>
      <c r="J1412" s="12" t="b">
        <f t="shared" si="60"/>
        <v>1</v>
      </c>
      <c r="K1412" s="12" t="str">
        <f>IFERROR(__xludf.DUMMYFUNCTION("regexreplace(G1412, ""_"", """")"),"")</f>
        <v/>
      </c>
      <c r="L141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2" s="88"/>
      <c r="P1412" s="88"/>
      <c r="Q1412" s="88"/>
      <c r="R1412" s="88"/>
      <c r="S1412" s="88"/>
    </row>
    <row r="1413">
      <c r="A1413" s="329" t="s">
        <v>8390</v>
      </c>
      <c r="B1413" s="329" t="s">
        <v>3759</v>
      </c>
      <c r="C1413" s="154" t="s">
        <v>3760</v>
      </c>
      <c r="D1413" s="154" t="s">
        <v>40</v>
      </c>
      <c r="E1413" s="151" t="s">
        <v>3761</v>
      </c>
      <c r="F1413" s="123">
        <f t="shared" si="1"/>
        <v>2</v>
      </c>
      <c r="G1413" s="121" t="s">
        <v>3762</v>
      </c>
      <c r="H1413" s="12"/>
      <c r="I1413" s="192" t="str">
        <f>IFERROR(__xludf.DUMMYFUNCTION("regexreplace(lower(C1413), ""_"", """")"),"dischargedic")</f>
        <v>dischargedic</v>
      </c>
      <c r="J1413" s="192" t="b">
        <f t="shared" si="60"/>
        <v>1</v>
      </c>
      <c r="K1413" s="192" t="str">
        <f>IFERROR(__xludf.DUMMYFUNCTION("regexreplace(G1413, ""_"", """")"),"dischargedic")</f>
        <v>dischargedic</v>
      </c>
      <c r="L14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""$1$2"")"),"discharge_d_i_c")</f>
        <v>discharge_d_i_c</v>
      </c>
      <c r="M1413" s="193"/>
      <c r="N1413" s="151"/>
      <c r="O1413" s="193"/>
      <c r="P1413" s="151" t="s">
        <v>3763</v>
      </c>
      <c r="Q1413" s="151" t="s">
        <v>3764</v>
      </c>
      <c r="R1413" s="207"/>
      <c r="S1413" s="207"/>
      <c r="T1413" s="193"/>
      <c r="U1413" s="193"/>
      <c r="V1413" s="193"/>
      <c r="W1413" s="193"/>
      <c r="X1413" s="193"/>
      <c r="Y1413" s="193"/>
      <c r="Z1413" s="193"/>
    </row>
    <row r="1414">
      <c r="A1414" s="33"/>
      <c r="B1414" s="33"/>
      <c r="C1414" s="12"/>
      <c r="D1414" s="12"/>
      <c r="E1414" s="15" t="s">
        <v>8406</v>
      </c>
      <c r="F1414" s="123">
        <f t="shared" si="1"/>
        <v>0</v>
      </c>
      <c r="G1414" s="12" t="s">
        <v>851</v>
      </c>
      <c r="H1414" s="12"/>
      <c r="I1414" s="12" t="str">
        <f>IFERROR(__xludf.DUMMYFUNCTION("regexreplace(lower(C1414), ""_"", """")"),"")</f>
        <v/>
      </c>
      <c r="J1414" s="12" t="b">
        <f t="shared" si="60"/>
        <v>1</v>
      </c>
      <c r="K1414" s="12" t="str">
        <f>IFERROR(__xludf.DUMMYFUNCTION("regexreplace(G1414, ""_"", """")"),"")</f>
        <v/>
      </c>
      <c r="L141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4" s="88"/>
      <c r="P1414" s="88"/>
      <c r="Q1414" s="88"/>
      <c r="R1414" s="88"/>
      <c r="S1414" s="88"/>
    </row>
    <row r="1415">
      <c r="A1415" s="329" t="s">
        <v>8390</v>
      </c>
      <c r="B1415" s="329" t="s">
        <v>3765</v>
      </c>
      <c r="C1415" s="154" t="s">
        <v>3766</v>
      </c>
      <c r="D1415" s="154" t="s">
        <v>40</v>
      </c>
      <c r="E1415" s="151" t="s">
        <v>3767</v>
      </c>
      <c r="F1415" s="123">
        <f t="shared" si="1"/>
        <v>2</v>
      </c>
      <c r="G1415" s="121" t="s">
        <v>3768</v>
      </c>
      <c r="H1415" s="12"/>
      <c r="I1415" s="192" t="str">
        <f>IFERROR(__xludf.DUMMYFUNCTION("regexreplace(lower(C1415), ""_"", """")"),"dischargehypoglycemia")</f>
        <v>dischargehypoglycemia</v>
      </c>
      <c r="J1415" s="192" t="b">
        <f t="shared" si="60"/>
        <v>1</v>
      </c>
      <c r="K1415" s="192" t="str">
        <f>IFERROR(__xludf.DUMMYFUNCTION("regexreplace(G1415, ""_"", """")"),"dischargehypoglycemia")</f>
        <v>dischargehypoglycemia</v>
      </c>
      <c r="L14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""$1$2"")"),"discharge_hypoglycemia")</f>
        <v>discharge_hypoglycemia</v>
      </c>
      <c r="M1415" s="193"/>
      <c r="N1415" s="151" t="s">
        <v>8407</v>
      </c>
      <c r="O1415" s="193"/>
      <c r="P1415" s="151" t="s">
        <v>3769</v>
      </c>
      <c r="Q1415" s="151" t="s">
        <v>3770</v>
      </c>
      <c r="R1415" s="207"/>
      <c r="S1415" s="207"/>
      <c r="T1415" s="193"/>
      <c r="U1415" s="193"/>
      <c r="V1415" s="193"/>
      <c r="W1415" s="193"/>
      <c r="X1415" s="193"/>
      <c r="Y1415" s="193"/>
      <c r="Z1415" s="193"/>
    </row>
    <row r="1416">
      <c r="A1416" s="329"/>
      <c r="B1416" s="329" t="s">
        <v>3765</v>
      </c>
      <c r="C1416" s="154" t="s">
        <v>3771</v>
      </c>
      <c r="D1416" s="154" t="s">
        <v>40</v>
      </c>
      <c r="E1416" s="151" t="s">
        <v>3772</v>
      </c>
      <c r="F1416" s="123">
        <f t="shared" si="1"/>
        <v>2</v>
      </c>
      <c r="G1416" s="121" t="s">
        <v>3773</v>
      </c>
      <c r="H1416" s="12"/>
      <c r="I1416" s="192" t="str">
        <f>IFERROR(__xludf.DUMMYFUNCTION("regexreplace(lower(C1416), ""_"", """")"),"dischargehypocalcemia")</f>
        <v>dischargehypocalcemia</v>
      </c>
      <c r="J1416" s="192" t="b">
        <f t="shared" si="60"/>
        <v>1</v>
      </c>
      <c r="K1416" s="192" t="str">
        <f>IFERROR(__xludf.DUMMYFUNCTION("regexreplace(G1416, ""_"", """")"),"dischargehypocalcemia")</f>
        <v>dischargehypocalcemia</v>
      </c>
      <c r="L14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""$1$2"")"),"discharge_hypocalcemia")</f>
        <v>discharge_hypocalcemia</v>
      </c>
      <c r="M1416" s="193"/>
      <c r="N1416" s="151"/>
      <c r="O1416" s="193"/>
      <c r="P1416" s="151" t="s">
        <v>3774</v>
      </c>
      <c r="Q1416" s="151" t="s">
        <v>3775</v>
      </c>
      <c r="R1416" s="207"/>
      <c r="S1416" s="207"/>
      <c r="T1416" s="193"/>
      <c r="U1416" s="193"/>
      <c r="V1416" s="193"/>
      <c r="W1416" s="193"/>
      <c r="X1416" s="193"/>
      <c r="Y1416" s="193"/>
      <c r="Z1416" s="193"/>
    </row>
    <row r="1417">
      <c r="A1417" s="329"/>
      <c r="B1417" s="329" t="s">
        <v>3765</v>
      </c>
      <c r="C1417" s="154" t="s">
        <v>3776</v>
      </c>
      <c r="D1417" s="154" t="s">
        <v>40</v>
      </c>
      <c r="E1417" s="151" t="s">
        <v>3777</v>
      </c>
      <c r="F1417" s="123">
        <f t="shared" si="1"/>
        <v>2</v>
      </c>
      <c r="G1417" s="121" t="s">
        <v>3778</v>
      </c>
      <c r="H1417" s="12"/>
      <c r="I1417" s="192" t="str">
        <f>IFERROR(__xludf.DUMMYFUNCTION("regexreplace(lower(C1417), ""_"", """")"),"dischargehypomagnesemia")</f>
        <v>dischargehypomagnesemia</v>
      </c>
      <c r="J1417" s="192" t="b">
        <f t="shared" si="60"/>
        <v>1</v>
      </c>
      <c r="K1417" s="192" t="str">
        <f>IFERROR(__xludf.DUMMYFUNCTION("regexreplace(G1417, ""_"", """")"),"dischargehypomagnesemia")</f>
        <v>dischargehypomagnesemia</v>
      </c>
      <c r="L14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""$1$2"")"),"discharge_hypomagnesemia")</f>
        <v>discharge_hypomagnesemia</v>
      </c>
      <c r="M1417" s="193"/>
      <c r="N1417" s="151"/>
      <c r="O1417" s="193"/>
      <c r="P1417" s="151" t="s">
        <v>3779</v>
      </c>
      <c r="Q1417" s="151" t="s">
        <v>3780</v>
      </c>
      <c r="R1417" s="207"/>
      <c r="S1417" s="207"/>
      <c r="T1417" s="193"/>
      <c r="U1417" s="193"/>
      <c r="V1417" s="193"/>
      <c r="W1417" s="193"/>
      <c r="X1417" s="193"/>
      <c r="Y1417" s="193"/>
      <c r="Z1417" s="193"/>
    </row>
    <row r="1418">
      <c r="A1418" s="33"/>
      <c r="B1418" s="33"/>
      <c r="C1418" s="12"/>
      <c r="D1418" s="12"/>
      <c r="E1418" s="15" t="s">
        <v>8408</v>
      </c>
      <c r="F1418" s="123">
        <f t="shared" si="1"/>
        <v>0</v>
      </c>
      <c r="G1418" s="12" t="s">
        <v>851</v>
      </c>
      <c r="H1418" s="12"/>
      <c r="I1418" s="12" t="str">
        <f>IFERROR(__xludf.DUMMYFUNCTION("regexreplace(lower(C1418), ""_"", """")"),"")</f>
        <v/>
      </c>
      <c r="J1418" s="12" t="b">
        <f t="shared" si="60"/>
        <v>1</v>
      </c>
      <c r="K1418" s="12" t="str">
        <f>IFERROR(__xludf.DUMMYFUNCTION("regexreplace(G1418, ""_"", """")"),"")</f>
        <v/>
      </c>
      <c r="L141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18" s="88"/>
      <c r="P1418" s="88"/>
      <c r="Q1418" s="88"/>
      <c r="R1418" s="88"/>
      <c r="S1418" s="88"/>
    </row>
    <row r="1419">
      <c r="A1419" s="329" t="s">
        <v>8390</v>
      </c>
      <c r="B1419" s="329" t="s">
        <v>3781</v>
      </c>
      <c r="C1419" s="154" t="s">
        <v>3782</v>
      </c>
      <c r="D1419" s="154" t="s">
        <v>40</v>
      </c>
      <c r="E1419" s="151" t="s">
        <v>3783</v>
      </c>
      <c r="F1419" s="123">
        <f t="shared" si="1"/>
        <v>2</v>
      </c>
      <c r="G1419" s="121" t="s">
        <v>3784</v>
      </c>
      <c r="H1419" s="12"/>
      <c r="I1419" s="192" t="str">
        <f>IFERROR(__xludf.DUMMYFUNCTION("regexreplace(lower(C1419), ""_"", """")"),"dischargeoliguria")</f>
        <v>dischargeoliguria</v>
      </c>
      <c r="J1419" s="192" t="b">
        <f t="shared" si="60"/>
        <v>1</v>
      </c>
      <c r="K1419" s="192" t="str">
        <f>IFERROR(__xludf.DUMMYFUNCTION("regexreplace(G1419, ""_"", """")"),"dischargeoliguria")</f>
        <v>dischargeoliguria</v>
      </c>
      <c r="L14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1419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""$1$2"")"),"discharge_oliguria")</f>
        <v>discharge_oliguria</v>
      </c>
      <c r="M1419" s="193"/>
      <c r="N1419" s="151"/>
      <c r="O1419" s="193"/>
      <c r="P1419" s="151" t="s">
        <v>3785</v>
      </c>
      <c r="Q1419" s="151" t="s">
        <v>3786</v>
      </c>
      <c r="R1419" s="207"/>
      <c r="S1419" s="207"/>
      <c r="T1419" s="193"/>
      <c r="U1419" s="193"/>
      <c r="V1419" s="193"/>
      <c r="W1419" s="193"/>
      <c r="X1419" s="193"/>
      <c r="Y1419" s="193"/>
      <c r="Z1419" s="193"/>
    </row>
    <row r="1420">
      <c r="A1420" s="329"/>
      <c r="B1420" s="329" t="s">
        <v>3781</v>
      </c>
      <c r="C1420" s="154" t="s">
        <v>3787</v>
      </c>
      <c r="D1420" s="154" t="s">
        <v>40</v>
      </c>
      <c r="E1420" s="151" t="s">
        <v>3788</v>
      </c>
      <c r="F1420" s="123">
        <f t="shared" si="1"/>
        <v>2</v>
      </c>
      <c r="G1420" s="121" t="s">
        <v>3789</v>
      </c>
      <c r="H1420" s="12"/>
      <c r="I1420" s="192" t="str">
        <f>IFERROR(__xludf.DUMMYFUNCTION("regexreplace(lower(C1420), ""_"", """")"),"dischargeanuria")</f>
        <v>dischargeanuria</v>
      </c>
      <c r="J1420" s="192" t="b">
        <f t="shared" si="60"/>
        <v>1</v>
      </c>
      <c r="K1420" s="192" t="str">
        <f>IFERROR(__xludf.DUMMYFUNCTION("regexreplace(G1420, ""_"", """")"),"dischargeanuria")</f>
        <v>dischargeanuria</v>
      </c>
      <c r="L14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""$1$2"")"),"discharge_anuria")</f>
        <v>discharge_anuria</v>
      </c>
      <c r="M1420" s="193"/>
      <c r="N1420" s="151"/>
      <c r="O1420" s="193"/>
      <c r="P1420" s="151" t="s">
        <v>3790</v>
      </c>
      <c r="Q1420" s="151" t="s">
        <v>3791</v>
      </c>
      <c r="R1420" s="207"/>
      <c r="S1420" s="207"/>
      <c r="T1420" s="193"/>
      <c r="U1420" s="193"/>
      <c r="V1420" s="193"/>
      <c r="W1420" s="193"/>
      <c r="X1420" s="193"/>
      <c r="Y1420" s="193"/>
      <c r="Z1420" s="193"/>
    </row>
    <row r="1421">
      <c r="A1421" s="329"/>
      <c r="B1421" s="329" t="s">
        <v>3781</v>
      </c>
      <c r="C1421" s="154" t="s">
        <v>3792</v>
      </c>
      <c r="D1421" s="154" t="s">
        <v>40</v>
      </c>
      <c r="E1421" s="151" t="s">
        <v>3793</v>
      </c>
      <c r="F1421" s="123">
        <f t="shared" si="1"/>
        <v>2</v>
      </c>
      <c r="G1421" s="121" t="s">
        <v>3794</v>
      </c>
      <c r="H1421" s="12"/>
      <c r="I1421" s="192" t="str">
        <f>IFERROR(__xludf.DUMMYFUNCTION("regexreplace(lower(C1421), ""_"", """")"),"dischargedialysis")</f>
        <v>dischargedialysis</v>
      </c>
      <c r="J1421" s="192" t="b">
        <f t="shared" si="60"/>
        <v>1</v>
      </c>
      <c r="K1421" s="192" t="str">
        <f>IFERROR(__xludf.DUMMYFUNCTION("regexreplace(G1421, ""_"", """")"),"dischargedialysis")</f>
        <v>dischargedialysis</v>
      </c>
      <c r="L14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""$1$2"")"),"discharge_dialysis")</f>
        <v>discharge_dialysis</v>
      </c>
      <c r="M1421" s="193"/>
      <c r="N1421" s="151"/>
      <c r="O1421" s="193"/>
      <c r="P1421" s="151" t="s">
        <v>3795</v>
      </c>
      <c r="Q1421" s="151" t="s">
        <v>3796</v>
      </c>
      <c r="R1421" s="207"/>
      <c r="S1421" s="207"/>
      <c r="T1421" s="193"/>
      <c r="U1421" s="193"/>
      <c r="V1421" s="193"/>
      <c r="W1421" s="193"/>
      <c r="X1421" s="193"/>
      <c r="Y1421" s="193"/>
      <c r="Z1421" s="193"/>
    </row>
    <row r="1422">
      <c r="A1422" s="33"/>
      <c r="B1422" s="33"/>
      <c r="C1422" s="12"/>
      <c r="D1422" s="12"/>
      <c r="E1422" s="15" t="s">
        <v>8409</v>
      </c>
      <c r="F1422" s="123">
        <f t="shared" si="1"/>
        <v>0</v>
      </c>
      <c r="G1422" s="12" t="s">
        <v>851</v>
      </c>
      <c r="H1422" s="12"/>
      <c r="I1422" s="12" t="str">
        <f>IFERROR(__xludf.DUMMYFUNCTION("regexreplace(lower(C1422), ""_"", """")"),"")</f>
        <v/>
      </c>
      <c r="J1422" s="12" t="b">
        <f t="shared" si="60"/>
        <v>1</v>
      </c>
      <c r="K1422" s="12" t="str">
        <f>IFERROR(__xludf.DUMMYFUNCTION("regexreplace(G1422, ""_"", """")"),"")</f>
        <v/>
      </c>
      <c r="L142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22" s="88"/>
      <c r="P1422" s="88"/>
      <c r="Q1422" s="88"/>
      <c r="R1422" s="88"/>
      <c r="S1422" s="88"/>
    </row>
    <row r="1423">
      <c r="A1423" s="329" t="s">
        <v>8390</v>
      </c>
      <c r="B1423" s="329" t="s">
        <v>3797</v>
      </c>
      <c r="C1423" s="154" t="s">
        <v>3798</v>
      </c>
      <c r="D1423" s="154" t="s">
        <v>31</v>
      </c>
      <c r="E1423" s="151" t="s">
        <v>3799</v>
      </c>
      <c r="F1423" s="123">
        <f t="shared" si="1"/>
        <v>1</v>
      </c>
      <c r="G1423" s="121" t="s">
        <v>3800</v>
      </c>
      <c r="H1423" s="12"/>
      <c r="I1423" s="192" t="str">
        <f>IFERROR(__xludf.DUMMYFUNCTION("regexreplace(lower(C1423), ""_"", """")"),"dischargeenteralfeedstartday")</f>
        <v>dischargeenteralfeedstartday</v>
      </c>
      <c r="J1423" s="192" t="b">
        <f t="shared" si="60"/>
        <v>1</v>
      </c>
      <c r="K1423" s="192" t="str">
        <f>IFERROR(__xludf.DUMMYFUNCTION("regexreplace(G1423, ""_"", """")"),"dischargeenteralfeedstartday")</f>
        <v>dischargeenteralfeedstartday</v>
      </c>
      <c r="L14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""$1$2"")"),"discharge_enteral_feed_start_day")</f>
        <v>discharge_enteral_feed_start_day</v>
      </c>
      <c r="M1423" s="193"/>
      <c r="N1423" s="199"/>
      <c r="O1423" s="193"/>
      <c r="P1423" s="199"/>
      <c r="Q1423" s="151" t="s">
        <v>3801</v>
      </c>
      <c r="R1423" s="207"/>
      <c r="S1423" s="207"/>
      <c r="T1423" s="193"/>
      <c r="U1423" s="193"/>
      <c r="V1423" s="193"/>
      <c r="W1423" s="193"/>
      <c r="X1423" s="193"/>
      <c r="Y1423" s="193"/>
      <c r="Z1423" s="193"/>
    </row>
    <row r="1424">
      <c r="A1424" s="329"/>
      <c r="B1424" s="329" t="s">
        <v>3797</v>
      </c>
      <c r="C1424" s="154" t="s">
        <v>8410</v>
      </c>
      <c r="D1424" s="154"/>
      <c r="E1424" s="151" t="s">
        <v>8411</v>
      </c>
      <c r="F1424" s="123">
        <f t="shared" si="1"/>
        <v>1</v>
      </c>
      <c r="G1424" s="121"/>
      <c r="H1424" s="12"/>
      <c r="I1424" s="192"/>
      <c r="J1424" s="192"/>
      <c r="K1424" s="192"/>
      <c r="L1424" s="121"/>
      <c r="M1424" s="193"/>
      <c r="N1424" s="151"/>
      <c r="O1424" s="193"/>
      <c r="P1424" s="151"/>
      <c r="Q1424" s="151"/>
      <c r="R1424" s="151" t="s">
        <v>8412</v>
      </c>
      <c r="S1424" s="207"/>
      <c r="T1424" s="193"/>
      <c r="U1424" s="193"/>
      <c r="V1424" s="193"/>
      <c r="W1424" s="193"/>
      <c r="X1424" s="193"/>
      <c r="Y1424" s="193"/>
      <c r="Z1424" s="193"/>
    </row>
    <row r="1425">
      <c r="A1425" s="329"/>
      <c r="B1425" s="329" t="s">
        <v>3797</v>
      </c>
      <c r="C1425" s="154" t="s">
        <v>3802</v>
      </c>
      <c r="D1425" s="154" t="s">
        <v>31</v>
      </c>
      <c r="E1425" s="151" t="s">
        <v>3803</v>
      </c>
      <c r="F1425" s="123">
        <f t="shared" si="1"/>
        <v>2</v>
      </c>
      <c r="G1425" s="121" t="s">
        <v>3804</v>
      </c>
      <c r="H1425" s="12"/>
      <c r="I1425" s="192" t="str">
        <f>IFERROR(__xludf.DUMMYFUNCTION("regexreplace(lower(C1425), ""_"", """")"),"dischargetubefeedingdurationday")</f>
        <v>dischargetubefeedingdurationday</v>
      </c>
      <c r="J1425" s="192" t="b">
        <f t="shared" ref="J1425:J1492" si="61">exact(I1425, K1425)</f>
        <v>1</v>
      </c>
      <c r="K1425" s="192" t="str">
        <f>IFERROR(__xludf.DUMMYFUNCTION("regexreplace(G1425, ""_"", """")"),"dischargetubefeedingdurationday")</f>
        <v>dischargetubefeedingdurationday</v>
      </c>
      <c r="L14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""$1$2"")"),"discharge_tube_feeding_duration_day")</f>
        <v>discharge_tube_feeding_duration_day</v>
      </c>
      <c r="M1425" s="193"/>
      <c r="N1425" s="151"/>
      <c r="O1425" s="193"/>
      <c r="P1425" s="151" t="s">
        <v>3805</v>
      </c>
      <c r="Q1425" s="151" t="s">
        <v>3806</v>
      </c>
      <c r="R1425" s="207"/>
      <c r="S1425" s="207"/>
      <c r="T1425" s="193"/>
      <c r="U1425" s="193"/>
      <c r="V1425" s="193"/>
      <c r="W1425" s="193"/>
      <c r="X1425" s="193"/>
      <c r="Y1425" s="193"/>
      <c r="Z1425" s="193"/>
    </row>
    <row r="1426">
      <c r="A1426" s="329"/>
      <c r="B1426" s="329" t="s">
        <v>3797</v>
      </c>
      <c r="C1426" s="154" t="s">
        <v>3807</v>
      </c>
      <c r="D1426" s="154" t="s">
        <v>40</v>
      </c>
      <c r="E1426" s="151" t="s">
        <v>3808</v>
      </c>
      <c r="F1426" s="123">
        <f t="shared" si="1"/>
        <v>1</v>
      </c>
      <c r="G1426" s="121" t="s">
        <v>3809</v>
      </c>
      <c r="H1426" s="12"/>
      <c r="I1426" s="192" t="str">
        <f>IFERROR(__xludf.DUMMYFUNCTION("regexreplace(lower(C1426), ""_"", """")"),"dischargefullnipplefeed")</f>
        <v>dischargefullnipplefeed</v>
      </c>
      <c r="J1426" s="192" t="b">
        <f t="shared" si="61"/>
        <v>1</v>
      </c>
      <c r="K1426" s="192" t="str">
        <f>IFERROR(__xludf.DUMMYFUNCTION("regexreplace(G1426, ""_"", """")"),"dischargefullnipplefeed")</f>
        <v>dischargefullnipplefeed</v>
      </c>
      <c r="L14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""$1$2"")"),"discharge_full_nipple_feed")</f>
        <v>discharge_full_nipple_feed</v>
      </c>
      <c r="M1426" s="193"/>
      <c r="N1426" s="199"/>
      <c r="O1426" s="193"/>
      <c r="P1426" s="199"/>
      <c r="Q1426" s="151" t="s">
        <v>3810</v>
      </c>
      <c r="R1426" s="207"/>
      <c r="S1426" s="207"/>
      <c r="T1426" s="193"/>
      <c r="U1426" s="193"/>
      <c r="V1426" s="193"/>
      <c r="W1426" s="193"/>
      <c r="X1426" s="193"/>
      <c r="Y1426" s="193"/>
      <c r="Z1426" s="193"/>
    </row>
    <row r="1427">
      <c r="A1427" s="329"/>
      <c r="B1427" s="329" t="s">
        <v>3797</v>
      </c>
      <c r="C1427" s="154" t="s">
        <v>3811</v>
      </c>
      <c r="D1427" s="154" t="s">
        <v>31</v>
      </c>
      <c r="E1427" s="151" t="s">
        <v>3812</v>
      </c>
      <c r="F1427" s="123">
        <f t="shared" si="1"/>
        <v>2</v>
      </c>
      <c r="G1427" s="121" t="s">
        <v>3813</v>
      </c>
      <c r="H1427" s="12"/>
      <c r="I1427" s="192" t="str">
        <f>IFERROR(__xludf.DUMMYFUNCTION("regexreplace(lower(C1427), ""_"", """")"),"dischargefullnipplefeedday")</f>
        <v>dischargefullnipplefeedday</v>
      </c>
      <c r="J1427" s="192" t="b">
        <f t="shared" si="61"/>
        <v>1</v>
      </c>
      <c r="K1427" s="192" t="str">
        <f>IFERROR(__xludf.DUMMYFUNCTION("regexreplace(G1427, ""_"", """")"),"dischargefullnipplefeedday")</f>
        <v>dischargefullnipplefeedday</v>
      </c>
      <c r="L14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""$1$2"")"),"discharge_full_nipple_feed_day")</f>
        <v>discharge_full_nipple_feed_day</v>
      </c>
      <c r="M1427" s="193"/>
      <c r="N1427" s="151"/>
      <c r="O1427" s="193"/>
      <c r="P1427" s="151" t="s">
        <v>3814</v>
      </c>
      <c r="Q1427" s="151" t="s">
        <v>3815</v>
      </c>
      <c r="R1427" s="207"/>
      <c r="S1427" s="207"/>
      <c r="T1427" s="193"/>
      <c r="U1427" s="193"/>
      <c r="V1427" s="193"/>
      <c r="W1427" s="193"/>
      <c r="X1427" s="193"/>
      <c r="Y1427" s="193"/>
      <c r="Z1427" s="193"/>
    </row>
    <row r="1428">
      <c r="A1428" s="329"/>
      <c r="B1428" s="329" t="s">
        <v>3797</v>
      </c>
      <c r="C1428" s="154" t="s">
        <v>3816</v>
      </c>
      <c r="D1428" s="154" t="s">
        <v>40</v>
      </c>
      <c r="E1428" s="151" t="s">
        <v>3817</v>
      </c>
      <c r="F1428" s="123">
        <f t="shared" si="1"/>
        <v>2</v>
      </c>
      <c r="G1428" s="121" t="s">
        <v>3818</v>
      </c>
      <c r="H1428" s="12"/>
      <c r="I1428" s="192" t="str">
        <f>IFERROR(__xludf.DUMMYFUNCTION("regexreplace(lower(C1428), ""_"", """")"),"dischargenec")</f>
        <v>dischargenec</v>
      </c>
      <c r="J1428" s="192" t="b">
        <f t="shared" si="61"/>
        <v>1</v>
      </c>
      <c r="K1428" s="192" t="str">
        <f>IFERROR(__xludf.DUMMYFUNCTION("regexreplace(G1428, ""_"", """")"),"dischargenec")</f>
        <v>dischargenec</v>
      </c>
      <c r="L14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""$1$2"")"),"discharge_n_e_c")</f>
        <v>discharge_n_e_c</v>
      </c>
      <c r="M1428" s="193"/>
      <c r="N1428" s="151"/>
      <c r="O1428" s="193"/>
      <c r="P1428" s="151" t="s">
        <v>3819</v>
      </c>
      <c r="Q1428" s="151" t="s">
        <v>3820</v>
      </c>
      <c r="R1428" s="207"/>
      <c r="S1428" s="207"/>
      <c r="T1428" s="193"/>
      <c r="U1428" s="193"/>
      <c r="V1428" s="193"/>
      <c r="W1428" s="193"/>
      <c r="X1428" s="193"/>
      <c r="Y1428" s="193"/>
      <c r="Z1428" s="193"/>
    </row>
    <row r="1429">
      <c r="A1429" s="329"/>
      <c r="B1429" s="329" t="s">
        <v>3797</v>
      </c>
      <c r="C1429" s="154" t="s">
        <v>3821</v>
      </c>
      <c r="D1429" s="154" t="s">
        <v>40</v>
      </c>
      <c r="E1429" s="151" t="s">
        <v>3822</v>
      </c>
      <c r="F1429" s="123">
        <f t="shared" si="1"/>
        <v>2</v>
      </c>
      <c r="G1429" s="121" t="s">
        <v>3823</v>
      </c>
      <c r="H1429" s="12"/>
      <c r="I1429" s="192" t="str">
        <f>IFERROR(__xludf.DUMMYFUNCTION("regexreplace(lower(C1429), ""_"", """")"),"dischargehepaticdysfunction")</f>
        <v>dischargehepaticdysfunction</v>
      </c>
      <c r="J1429" s="192" t="b">
        <f t="shared" si="61"/>
        <v>1</v>
      </c>
      <c r="K1429" s="192" t="str">
        <f>IFERROR(__xludf.DUMMYFUNCTION("regexreplace(G1429, ""_"", """")"),"dischargehepaticdysfunction")</f>
        <v>dischargehepaticdysfunction</v>
      </c>
      <c r="L14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1429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""$1$2"")"),"discharge_hepatic_dysfunction")</f>
        <v>discharge_hepatic_dysfunction</v>
      </c>
      <c r="M1429" s="193"/>
      <c r="N1429" s="151"/>
      <c r="O1429" s="193"/>
      <c r="P1429" s="151" t="s">
        <v>3824</v>
      </c>
      <c r="Q1429" s="151" t="s">
        <v>3825</v>
      </c>
      <c r="R1429" s="207"/>
      <c r="S1429" s="207"/>
      <c r="T1429" s="193"/>
      <c r="U1429" s="193"/>
      <c r="V1429" s="193"/>
      <c r="W1429" s="193"/>
      <c r="X1429" s="193"/>
      <c r="Y1429" s="193"/>
      <c r="Z1429" s="193"/>
    </row>
    <row r="1430">
      <c r="A1430" s="33"/>
      <c r="B1430" s="33"/>
      <c r="C1430" s="12"/>
      <c r="D1430" s="12"/>
      <c r="E1430" s="15" t="s">
        <v>8413</v>
      </c>
      <c r="F1430" s="123">
        <f t="shared" si="1"/>
        <v>0</v>
      </c>
      <c r="G1430" s="12" t="s">
        <v>851</v>
      </c>
      <c r="H1430" s="12"/>
      <c r="I1430" s="12" t="str">
        <f>IFERROR(__xludf.DUMMYFUNCTION("regexreplace(lower(C1430), ""_"", """")"),"")</f>
        <v/>
      </c>
      <c r="J1430" s="12" t="b">
        <f t="shared" si="61"/>
        <v>1</v>
      </c>
      <c r="K1430" s="12" t="str">
        <f>IFERROR(__xludf.DUMMYFUNCTION("regexreplace(G1430, ""_"", """")"),"")</f>
        <v/>
      </c>
      <c r="L1430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30" s="88"/>
      <c r="P1430" s="88"/>
      <c r="Q1430" s="88"/>
      <c r="R1430" s="88"/>
      <c r="S1430" s="88"/>
    </row>
    <row r="1431">
      <c r="A1431" s="329" t="s">
        <v>8390</v>
      </c>
      <c r="B1431" s="329" t="s">
        <v>3826</v>
      </c>
      <c r="C1431" s="154" t="s">
        <v>3827</v>
      </c>
      <c r="D1431" s="154" t="s">
        <v>40</v>
      </c>
      <c r="E1431" s="151" t="s">
        <v>3828</v>
      </c>
      <c r="F1431" s="123">
        <f t="shared" si="1"/>
        <v>1</v>
      </c>
      <c r="G1431" s="121" t="s">
        <v>8414</v>
      </c>
      <c r="H1431" s="12"/>
      <c r="I1431" s="192" t="str">
        <f>IFERROR(__xludf.DUMMYFUNCTION("regexreplace(lower(C1431), ""_"", """")"),"dischargealteredskinitegritypostintervention")</f>
        <v>dischargealteredskinitegritypostintervention</v>
      </c>
      <c r="J1431" s="192" t="b">
        <f t="shared" si="61"/>
        <v>0</v>
      </c>
      <c r="K1431" s="192" t="str">
        <f>IFERROR(__xludf.DUMMYFUNCTION("regexreplace(G1431, ""_"", """")"),"dischargealteredskinitegrityposttreat")</f>
        <v>dischargealteredskinitegrityposttreat</v>
      </c>
      <c r="L14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""$1$2"")"),"discharge_altered_skin_itegrity_post_intervention")</f>
        <v>discharge_altered_skin_itegrity_post_intervention</v>
      </c>
      <c r="M1431" s="193"/>
      <c r="N1431" s="199"/>
      <c r="O1431" s="193"/>
      <c r="P1431" s="199"/>
      <c r="Q1431" s="151" t="s">
        <v>3830</v>
      </c>
      <c r="R1431" s="207"/>
      <c r="S1431" s="207"/>
      <c r="T1431" s="193"/>
      <c r="U1431" s="193"/>
      <c r="V1431" s="193"/>
      <c r="W1431" s="193"/>
      <c r="X1431" s="193"/>
      <c r="Y1431" s="193"/>
      <c r="Z1431" s="193"/>
    </row>
    <row r="1432">
      <c r="A1432" s="329"/>
      <c r="B1432" s="329" t="s">
        <v>3826</v>
      </c>
      <c r="C1432" s="154" t="s">
        <v>3831</v>
      </c>
      <c r="D1432" s="154" t="s">
        <v>40</v>
      </c>
      <c r="E1432" s="151" t="s">
        <v>3832</v>
      </c>
      <c r="F1432" s="123">
        <f t="shared" si="1"/>
        <v>1</v>
      </c>
      <c r="G1432" s="121" t="s">
        <v>3833</v>
      </c>
      <c r="H1432" s="12"/>
      <c r="I1432" s="192" t="str">
        <f>IFERROR(__xludf.DUMMYFUNCTION("regexreplace(lower(C1432), ""_"", """")"),"dischargeerythema")</f>
        <v>dischargeerythema</v>
      </c>
      <c r="J1432" s="192" t="b">
        <f t="shared" si="61"/>
        <v>1</v>
      </c>
      <c r="K1432" s="192" t="str">
        <f>IFERROR(__xludf.DUMMYFUNCTION("regexreplace(G1432, ""_"", """")"),"dischargeerythema")</f>
        <v>dischargeerythema</v>
      </c>
      <c r="L14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""$1$2"")"),"discharge_erythema")</f>
        <v>discharge_erythema</v>
      </c>
      <c r="M1432" s="193"/>
      <c r="N1432" s="199"/>
      <c r="O1432" s="193"/>
      <c r="P1432" s="199"/>
      <c r="Q1432" s="151" t="s">
        <v>3834</v>
      </c>
      <c r="R1432" s="207"/>
      <c r="S1432" s="207"/>
      <c r="T1432" s="193"/>
      <c r="U1432" s="193"/>
      <c r="V1432" s="193"/>
      <c r="W1432" s="193"/>
      <c r="X1432" s="193"/>
      <c r="Y1432" s="193"/>
      <c r="Z1432" s="193"/>
    </row>
    <row r="1433">
      <c r="A1433" s="329"/>
      <c r="B1433" s="329" t="s">
        <v>3826</v>
      </c>
      <c r="C1433" s="154" t="s">
        <v>3835</v>
      </c>
      <c r="D1433" s="154" t="s">
        <v>26</v>
      </c>
      <c r="E1433" s="151" t="s">
        <v>3836</v>
      </c>
      <c r="F1433" s="123">
        <f t="shared" si="1"/>
        <v>1</v>
      </c>
      <c r="G1433" s="121" t="s">
        <v>3837</v>
      </c>
      <c r="H1433" s="12"/>
      <c r="I1433" s="192" t="str">
        <f>IFERROR(__xludf.DUMMYFUNCTION("regexreplace(lower(C1433), ""_"", """")"),"dischargeerythemaonsetdate")</f>
        <v>dischargeerythemaonsetdate</v>
      </c>
      <c r="J1433" s="192" t="b">
        <f t="shared" si="61"/>
        <v>1</v>
      </c>
      <c r="K1433" s="192" t="str">
        <f>IFERROR(__xludf.DUMMYFUNCTION("regexreplace(G1433, ""_"", """")"),"dischargeerythemaonsetdate")</f>
        <v>dischargeerythemaonsetdate</v>
      </c>
      <c r="L14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""$1$2"")"),"discharge_erythema_onset_date")</f>
        <v>discharge_erythema_onset_date</v>
      </c>
      <c r="M1433" s="193"/>
      <c r="N1433" s="199"/>
      <c r="O1433" s="193"/>
      <c r="P1433" s="199"/>
      <c r="Q1433" s="151" t="s">
        <v>3838</v>
      </c>
      <c r="R1433" s="207"/>
      <c r="S1433" s="207"/>
      <c r="T1433" s="193"/>
      <c r="U1433" s="193"/>
      <c r="V1433" s="193"/>
      <c r="W1433" s="193"/>
      <c r="X1433" s="193"/>
      <c r="Y1433" s="193"/>
      <c r="Z1433" s="193"/>
    </row>
    <row r="1434">
      <c r="A1434" s="329"/>
      <c r="B1434" s="329" t="s">
        <v>3826</v>
      </c>
      <c r="C1434" s="154" t="s">
        <v>3839</v>
      </c>
      <c r="D1434" s="154" t="s">
        <v>26</v>
      </c>
      <c r="E1434" s="151" t="s">
        <v>3840</v>
      </c>
      <c r="F1434" s="123">
        <f t="shared" si="1"/>
        <v>1</v>
      </c>
      <c r="G1434" s="121" t="s">
        <v>3841</v>
      </c>
      <c r="H1434" s="12"/>
      <c r="I1434" s="192" t="str">
        <f>IFERROR(__xludf.DUMMYFUNCTION("regexreplace(lower(C1434), ""_"", """")"),"dischargeerythemaresolvedate")</f>
        <v>dischargeerythemaresolvedate</v>
      </c>
      <c r="J1434" s="192" t="b">
        <f t="shared" si="61"/>
        <v>1</v>
      </c>
      <c r="K1434" s="192" t="str">
        <f>IFERROR(__xludf.DUMMYFUNCTION("regexreplace(G1434, ""_"", """")"),"dischargeerythemaresolvedate")</f>
        <v>dischargeerythemaresolvedate</v>
      </c>
      <c r="L14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""$1$2"")"),"discharge_erythema_resolve_date")</f>
        <v>discharge_erythema_resolve_date</v>
      </c>
      <c r="M1434" s="193"/>
      <c r="N1434" s="199"/>
      <c r="O1434" s="193"/>
      <c r="P1434" s="199"/>
      <c r="Q1434" s="151" t="s">
        <v>3842</v>
      </c>
      <c r="R1434" s="207"/>
      <c r="S1434" s="207"/>
      <c r="T1434" s="193"/>
      <c r="U1434" s="193"/>
      <c r="V1434" s="193"/>
      <c r="W1434" s="193"/>
      <c r="X1434" s="193"/>
      <c r="Y1434" s="193"/>
      <c r="Z1434" s="193"/>
    </row>
    <row r="1435">
      <c r="A1435" s="329"/>
      <c r="B1435" s="329" t="s">
        <v>3826</v>
      </c>
      <c r="C1435" s="154" t="s">
        <v>3843</v>
      </c>
      <c r="D1435" s="154" t="s">
        <v>40</v>
      </c>
      <c r="E1435" s="151" t="s">
        <v>3844</v>
      </c>
      <c r="F1435" s="123">
        <f t="shared" si="1"/>
        <v>1</v>
      </c>
      <c r="G1435" s="121" t="s">
        <v>3845</v>
      </c>
      <c r="H1435" s="12"/>
      <c r="I1435" s="192" t="str">
        <f>IFERROR(__xludf.DUMMYFUNCTION("regexreplace(lower(C1435), ""_"", """")"),"dischargesclerema")</f>
        <v>dischargesclerema</v>
      </c>
      <c r="J1435" s="192" t="b">
        <f t="shared" si="61"/>
        <v>1</v>
      </c>
      <c r="K1435" s="192" t="str">
        <f>IFERROR(__xludf.DUMMYFUNCTION("regexreplace(G1435, ""_"", """")"),"dischargesclerema")</f>
        <v>dischargesclerema</v>
      </c>
      <c r="L14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""$1$2"")"),"discharge_sclerema")</f>
        <v>discharge_sclerema</v>
      </c>
      <c r="M1435" s="193"/>
      <c r="N1435" s="199"/>
      <c r="O1435" s="193"/>
      <c r="P1435" s="199"/>
      <c r="Q1435" s="151" t="s">
        <v>3846</v>
      </c>
      <c r="R1435" s="207"/>
      <c r="S1435" s="207"/>
      <c r="T1435" s="193"/>
      <c r="U1435" s="193"/>
      <c r="V1435" s="193"/>
      <c r="W1435" s="193"/>
      <c r="X1435" s="193"/>
      <c r="Y1435" s="193"/>
      <c r="Z1435" s="193"/>
    </row>
    <row r="1436">
      <c r="A1436" s="329"/>
      <c r="B1436" s="329" t="s">
        <v>3826</v>
      </c>
      <c r="C1436" s="154" t="s">
        <v>3847</v>
      </c>
      <c r="D1436" s="154" t="s">
        <v>26</v>
      </c>
      <c r="E1436" s="151" t="s">
        <v>3848</v>
      </c>
      <c r="F1436" s="123">
        <f t="shared" si="1"/>
        <v>1</v>
      </c>
      <c r="G1436" s="121" t="s">
        <v>3849</v>
      </c>
      <c r="H1436" s="12"/>
      <c r="I1436" s="192" t="str">
        <f>IFERROR(__xludf.DUMMYFUNCTION("regexreplace(lower(C1436), ""_"", """")"),"dischargescleremaonsetdate")</f>
        <v>dischargescleremaonsetdate</v>
      </c>
      <c r="J1436" s="192" t="b">
        <f t="shared" si="61"/>
        <v>1</v>
      </c>
      <c r="K1436" s="192" t="str">
        <f>IFERROR(__xludf.DUMMYFUNCTION("regexreplace(G1436, ""_"", """")"),"dischargescleremaonsetdate")</f>
        <v>dischargescleremaonsetdate</v>
      </c>
      <c r="L14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""$1$2"")"),"discharge_sclerema_onset_date")</f>
        <v>discharge_sclerema_onset_date</v>
      </c>
      <c r="M1436" s="193"/>
      <c r="N1436" s="199"/>
      <c r="O1436" s="193"/>
      <c r="P1436" s="199"/>
      <c r="Q1436" s="151" t="s">
        <v>3850</v>
      </c>
      <c r="R1436" s="207"/>
      <c r="S1436" s="207"/>
      <c r="T1436" s="193"/>
      <c r="U1436" s="193"/>
      <c r="V1436" s="193"/>
      <c r="W1436" s="193"/>
      <c r="X1436" s="193"/>
      <c r="Y1436" s="193"/>
      <c r="Z1436" s="193"/>
    </row>
    <row r="1437">
      <c r="A1437" s="329"/>
      <c r="B1437" s="329" t="s">
        <v>3826</v>
      </c>
      <c r="C1437" s="154" t="s">
        <v>3851</v>
      </c>
      <c r="D1437" s="154" t="s">
        <v>26</v>
      </c>
      <c r="E1437" s="151" t="s">
        <v>3852</v>
      </c>
      <c r="F1437" s="123">
        <f t="shared" si="1"/>
        <v>1</v>
      </c>
      <c r="G1437" s="121" t="s">
        <v>3853</v>
      </c>
      <c r="H1437" s="12"/>
      <c r="I1437" s="192" t="str">
        <f>IFERROR(__xludf.DUMMYFUNCTION("regexreplace(lower(C1437), ""_"", """")"),"dischargescleremaresolvedate")</f>
        <v>dischargescleremaresolvedate</v>
      </c>
      <c r="J1437" s="192" t="b">
        <f t="shared" si="61"/>
        <v>1</v>
      </c>
      <c r="K1437" s="192" t="str">
        <f>IFERROR(__xludf.DUMMYFUNCTION("regexreplace(G1437, ""_"", """")"),"dischargescleremaresolvedate")</f>
        <v>dischargescleremaresolvedate</v>
      </c>
      <c r="L14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""$1$2"")"),"discharge_sclerema_resolve_date")</f>
        <v>discharge_sclerema_resolve_date</v>
      </c>
      <c r="M1437" s="193"/>
      <c r="N1437" s="199"/>
      <c r="O1437" s="193"/>
      <c r="P1437" s="199"/>
      <c r="Q1437" s="151" t="s">
        <v>3854</v>
      </c>
      <c r="R1437" s="207"/>
      <c r="S1437" s="207"/>
      <c r="T1437" s="193"/>
      <c r="U1437" s="193"/>
      <c r="V1437" s="193"/>
      <c r="W1437" s="193"/>
      <c r="X1437" s="193"/>
      <c r="Y1437" s="193"/>
      <c r="Z1437" s="193"/>
    </row>
    <row r="1438">
      <c r="A1438" s="329"/>
      <c r="B1438" s="329" t="s">
        <v>3826</v>
      </c>
      <c r="C1438" s="154" t="s">
        <v>3855</v>
      </c>
      <c r="D1438" s="154" t="s">
        <v>40</v>
      </c>
      <c r="E1438" s="151" t="s">
        <v>3856</v>
      </c>
      <c r="F1438" s="123">
        <f t="shared" si="1"/>
        <v>1</v>
      </c>
      <c r="G1438" s="121" t="s">
        <v>3857</v>
      </c>
      <c r="H1438" s="12"/>
      <c r="I1438" s="192" t="str">
        <f>IFERROR(__xludf.DUMMYFUNCTION("regexreplace(lower(C1438), ""_"", """")"),"dischargecyanosis")</f>
        <v>dischargecyanosis</v>
      </c>
      <c r="J1438" s="192" t="b">
        <f t="shared" si="61"/>
        <v>1</v>
      </c>
      <c r="K1438" s="192" t="str">
        <f>IFERROR(__xludf.DUMMYFUNCTION("regexreplace(G1438, ""_"", """")"),"dischargecyanosis")</f>
        <v>dischargecyanosis</v>
      </c>
      <c r="L14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""$1$2"")"),"discharge_cyanosis")</f>
        <v>discharge_cyanosis</v>
      </c>
      <c r="M1438" s="193"/>
      <c r="N1438" s="199"/>
      <c r="O1438" s="193"/>
      <c r="P1438" s="199"/>
      <c r="Q1438" s="151" t="s">
        <v>3858</v>
      </c>
      <c r="R1438" s="207"/>
      <c r="S1438" s="207"/>
      <c r="T1438" s="193"/>
      <c r="U1438" s="193"/>
      <c r="V1438" s="193"/>
      <c r="W1438" s="193"/>
      <c r="X1438" s="193"/>
      <c r="Y1438" s="193"/>
      <c r="Z1438" s="193"/>
    </row>
    <row r="1439">
      <c r="A1439" s="329"/>
      <c r="B1439" s="329" t="s">
        <v>3826</v>
      </c>
      <c r="C1439" s="154" t="s">
        <v>3859</v>
      </c>
      <c r="D1439" s="154" t="s">
        <v>26</v>
      </c>
      <c r="E1439" s="151" t="s">
        <v>3860</v>
      </c>
      <c r="F1439" s="123">
        <f t="shared" si="1"/>
        <v>1</v>
      </c>
      <c r="G1439" s="121" t="s">
        <v>3861</v>
      </c>
      <c r="H1439" s="12"/>
      <c r="I1439" s="192" t="str">
        <f>IFERROR(__xludf.DUMMYFUNCTION("regexreplace(lower(C1439), ""_"", """")"),"dischargecyanosisonsetdate")</f>
        <v>dischargecyanosisonsetdate</v>
      </c>
      <c r="J1439" s="192" t="b">
        <f t="shared" si="61"/>
        <v>1</v>
      </c>
      <c r="K1439" s="192" t="str">
        <f>IFERROR(__xludf.DUMMYFUNCTION("regexreplace(G1439, ""_"", """")"),"dischargecyanosisonsetdate")</f>
        <v>dischargecyanosisonsetdate</v>
      </c>
      <c r="L14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1439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""$1$2"")"),"discharge_cyanosis_onset_date")</f>
        <v>discharge_cyanosis_onset_date</v>
      </c>
      <c r="M1439" s="193"/>
      <c r="N1439" s="199"/>
      <c r="O1439" s="193"/>
      <c r="P1439" s="199"/>
      <c r="Q1439" s="151" t="s">
        <v>3862</v>
      </c>
      <c r="R1439" s="207"/>
      <c r="S1439" s="207"/>
      <c r="T1439" s="193"/>
      <c r="U1439" s="193"/>
      <c r="V1439" s="193"/>
      <c r="W1439" s="193"/>
      <c r="X1439" s="193"/>
      <c r="Y1439" s="193"/>
      <c r="Z1439" s="193"/>
    </row>
    <row r="1440">
      <c r="A1440" s="329"/>
      <c r="B1440" s="329" t="s">
        <v>3826</v>
      </c>
      <c r="C1440" s="154" t="s">
        <v>3863</v>
      </c>
      <c r="D1440" s="154" t="s">
        <v>26</v>
      </c>
      <c r="E1440" s="151" t="s">
        <v>3864</v>
      </c>
      <c r="F1440" s="123">
        <f t="shared" si="1"/>
        <v>1</v>
      </c>
      <c r="G1440" s="121" t="s">
        <v>3865</v>
      </c>
      <c r="H1440" s="12"/>
      <c r="I1440" s="192" t="str">
        <f>IFERROR(__xludf.DUMMYFUNCTION("regexreplace(lower(C1440), ""_"", """")"),"dischargecyanosisresolvedate")</f>
        <v>dischargecyanosisresolvedate</v>
      </c>
      <c r="J1440" s="192" t="b">
        <f t="shared" si="61"/>
        <v>1</v>
      </c>
      <c r="K1440" s="192" t="str">
        <f>IFERROR(__xludf.DUMMYFUNCTION("regexreplace(G1440, ""_"", """")"),"dischargecyanosisresolvedate")</f>
        <v>dischargecyanosisresolvedate</v>
      </c>
      <c r="L14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""$1$2"")"),"discharge_cyanosis_resolve_date")</f>
        <v>discharge_cyanosis_resolve_date</v>
      </c>
      <c r="M1440" s="193"/>
      <c r="N1440" s="199"/>
      <c r="O1440" s="193"/>
      <c r="P1440" s="199"/>
      <c r="Q1440" s="151" t="s">
        <v>3866</v>
      </c>
      <c r="R1440" s="207"/>
      <c r="S1440" s="207"/>
      <c r="T1440" s="193"/>
      <c r="U1440" s="193"/>
      <c r="V1440" s="193"/>
      <c r="W1440" s="193"/>
      <c r="X1440" s="193"/>
      <c r="Y1440" s="193"/>
      <c r="Z1440" s="193"/>
    </row>
    <row r="1441">
      <c r="A1441" s="329"/>
      <c r="B1441" s="329" t="s">
        <v>3826</v>
      </c>
      <c r="C1441" s="154" t="s">
        <v>3867</v>
      </c>
      <c r="D1441" s="154" t="s">
        <v>40</v>
      </c>
      <c r="E1441" s="151" t="s">
        <v>3868</v>
      </c>
      <c r="F1441" s="123">
        <f t="shared" si="1"/>
        <v>1</v>
      </c>
      <c r="G1441" s="121" t="s">
        <v>3869</v>
      </c>
      <c r="H1441" s="12"/>
      <c r="I1441" s="192" t="str">
        <f>IFERROR(__xludf.DUMMYFUNCTION("regexreplace(lower(C1441), ""_"", """")"),"dischargesubfatnecrosis")</f>
        <v>dischargesubfatnecrosis</v>
      </c>
      <c r="J1441" s="192" t="b">
        <f t="shared" si="61"/>
        <v>1</v>
      </c>
      <c r="K1441" s="192" t="str">
        <f>IFERROR(__xludf.DUMMYFUNCTION("regexreplace(G1441, ""_"", """")"),"dischargesubfatnecrosis")</f>
        <v>dischargesubfatnecrosis</v>
      </c>
      <c r="L14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""$1$2"")"),"discharge_sub_fat_necrosis")</f>
        <v>discharge_sub_fat_necrosis</v>
      </c>
      <c r="M1441" s="193"/>
      <c r="N1441" s="199"/>
      <c r="O1441" s="193"/>
      <c r="P1441" s="199"/>
      <c r="Q1441" s="151" t="s">
        <v>3870</v>
      </c>
      <c r="R1441" s="207"/>
      <c r="S1441" s="207"/>
      <c r="T1441" s="193"/>
      <c r="U1441" s="193"/>
      <c r="V1441" s="193"/>
      <c r="W1441" s="193"/>
      <c r="X1441" s="193"/>
      <c r="Y1441" s="193"/>
      <c r="Z1441" s="193"/>
    </row>
    <row r="1442">
      <c r="A1442" s="329"/>
      <c r="B1442" s="329" t="s">
        <v>3826</v>
      </c>
      <c r="C1442" s="154" t="s">
        <v>3871</v>
      </c>
      <c r="D1442" s="154" t="s">
        <v>26</v>
      </c>
      <c r="E1442" s="151" t="s">
        <v>3872</v>
      </c>
      <c r="F1442" s="123">
        <f t="shared" si="1"/>
        <v>1</v>
      </c>
      <c r="G1442" s="121" t="s">
        <v>3873</v>
      </c>
      <c r="H1442" s="12"/>
      <c r="I1442" s="192" t="str">
        <f>IFERROR(__xludf.DUMMYFUNCTION("regexreplace(lower(C1442), ""_"", """")"),"dischargesubfatnecrosisonsetdate")</f>
        <v>dischargesubfatnecrosisonsetdate</v>
      </c>
      <c r="J1442" s="192" t="b">
        <f t="shared" si="61"/>
        <v>1</v>
      </c>
      <c r="K1442" s="192" t="str">
        <f>IFERROR(__xludf.DUMMYFUNCTION("regexreplace(G1442, ""_"", """")"),"dischargesubfatnecrosisonsetdate")</f>
        <v>dischargesubfatnecrosisonsetdate</v>
      </c>
      <c r="L14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""$1$2"")"),"discharge_sub_fat_necrosis_onset_date")</f>
        <v>discharge_sub_fat_necrosis_onset_date</v>
      </c>
      <c r="M1442" s="193"/>
      <c r="N1442" s="199"/>
      <c r="O1442" s="193"/>
      <c r="P1442" s="199"/>
      <c r="Q1442" s="151" t="s">
        <v>3874</v>
      </c>
      <c r="R1442" s="207"/>
      <c r="S1442" s="207"/>
      <c r="T1442" s="193"/>
      <c r="U1442" s="193"/>
      <c r="V1442" s="193"/>
      <c r="W1442" s="193"/>
      <c r="X1442" s="193"/>
      <c r="Y1442" s="193"/>
      <c r="Z1442" s="193"/>
    </row>
    <row r="1443">
      <c r="A1443" s="329"/>
      <c r="B1443" s="329" t="s">
        <v>3826</v>
      </c>
      <c r="C1443" s="154" t="s">
        <v>3875</v>
      </c>
      <c r="D1443" s="154" t="s">
        <v>26</v>
      </c>
      <c r="E1443" s="151" t="s">
        <v>3876</v>
      </c>
      <c r="F1443" s="123">
        <f t="shared" si="1"/>
        <v>1</v>
      </c>
      <c r="G1443" s="121" t="s">
        <v>3877</v>
      </c>
      <c r="H1443" s="12"/>
      <c r="I1443" s="192" t="str">
        <f>IFERROR(__xludf.DUMMYFUNCTION("regexreplace(lower(C1443), ""_"", """")"),"dischargesubfatnecrosisresolvedate")</f>
        <v>dischargesubfatnecrosisresolvedate</v>
      </c>
      <c r="J1443" s="192" t="b">
        <f t="shared" si="61"/>
        <v>1</v>
      </c>
      <c r="K1443" s="192" t="str">
        <f>IFERROR(__xludf.DUMMYFUNCTION("regexreplace(G1443, ""_"", """")"),"dischargesubfatnecrosisresolvedate")</f>
        <v>dischargesubfatnecrosisresolvedate</v>
      </c>
      <c r="L14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""$1$2"")"),"discharge_sub_fat_necrosis_resolve_date")</f>
        <v>discharge_sub_fat_necrosis_resolve_date</v>
      </c>
      <c r="M1443" s="193"/>
      <c r="N1443" s="199"/>
      <c r="O1443" s="193"/>
      <c r="P1443" s="199"/>
      <c r="Q1443" s="151" t="s">
        <v>3878</v>
      </c>
      <c r="R1443" s="207"/>
      <c r="S1443" s="207"/>
      <c r="T1443" s="193"/>
      <c r="U1443" s="193"/>
      <c r="V1443" s="193"/>
      <c r="W1443" s="193"/>
      <c r="X1443" s="193"/>
      <c r="Y1443" s="193"/>
      <c r="Z1443" s="193"/>
    </row>
    <row r="1444">
      <c r="A1444" s="33"/>
      <c r="B1444" s="33"/>
      <c r="C1444" s="12"/>
      <c r="D1444" s="12"/>
      <c r="E1444" s="15"/>
      <c r="F1444" s="123">
        <f t="shared" si="1"/>
        <v>0</v>
      </c>
      <c r="G1444" s="12" t="s">
        <v>851</v>
      </c>
      <c r="H1444" s="12"/>
      <c r="I1444" s="12" t="str">
        <f>IFERROR(__xludf.DUMMYFUNCTION("regexreplace(lower(C1444), ""_"", """")"),"")</f>
        <v/>
      </c>
      <c r="J1444" s="12" t="b">
        <f t="shared" si="61"/>
        <v>1</v>
      </c>
      <c r="K1444" s="12" t="str">
        <f>IFERROR(__xludf.DUMMYFUNCTION("regexreplace(G1444, ""_"", """")"),"")</f>
        <v/>
      </c>
      <c r="L1444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44" s="40"/>
      <c r="P1444" s="40"/>
      <c r="Q1444" s="15"/>
      <c r="R1444" s="88"/>
      <c r="S1444" s="88"/>
    </row>
    <row r="1445">
      <c r="A1445" s="329" t="s">
        <v>8390</v>
      </c>
      <c r="B1445" s="329" t="s">
        <v>3879</v>
      </c>
      <c r="C1445" s="154" t="s">
        <v>3880</v>
      </c>
      <c r="D1445" s="154" t="s">
        <v>40</v>
      </c>
      <c r="E1445" s="151" t="s">
        <v>3881</v>
      </c>
      <c r="F1445" s="123">
        <f t="shared" si="1"/>
        <v>3</v>
      </c>
      <c r="G1445" s="121" t="s">
        <v>3882</v>
      </c>
      <c r="H1445" s="12"/>
      <c r="I1445" s="192" t="str">
        <f>IFERROR(__xludf.DUMMYFUNCTION("regexreplace(lower(C1445), ""_"", """")"),"dischargehearingtest")</f>
        <v>dischargehearingtest</v>
      </c>
      <c r="J1445" s="192" t="b">
        <f t="shared" si="61"/>
        <v>1</v>
      </c>
      <c r="K1445" s="192" t="str">
        <f>IFERROR(__xludf.DUMMYFUNCTION("regexreplace(G1445, ""_"", """")"),"dischargehearingtest")</f>
        <v>dischargehearingtest</v>
      </c>
      <c r="L14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""$1$2"")"),"discharge_hearing_test")</f>
        <v>discharge_hearing_test</v>
      </c>
      <c r="M1445" s="193"/>
      <c r="N1445" s="200"/>
      <c r="O1445" s="61" t="s">
        <v>8415</v>
      </c>
      <c r="P1445" s="200" t="s">
        <v>3883</v>
      </c>
      <c r="Q1445" s="151" t="s">
        <v>3884</v>
      </c>
      <c r="R1445" s="207"/>
      <c r="S1445" s="207"/>
      <c r="T1445" s="193"/>
      <c r="U1445" s="193"/>
      <c r="V1445" s="193"/>
      <c r="W1445" s="193"/>
      <c r="X1445" s="193"/>
      <c r="Y1445" s="193"/>
      <c r="Z1445" s="193"/>
    </row>
    <row r="1446">
      <c r="A1446" s="329"/>
      <c r="B1446" s="329" t="s">
        <v>3879</v>
      </c>
      <c r="C1446" s="154" t="s">
        <v>3885</v>
      </c>
      <c r="D1446" s="154" t="s">
        <v>40</v>
      </c>
      <c r="E1446" s="151" t="s">
        <v>3886</v>
      </c>
      <c r="F1446" s="123">
        <f t="shared" si="1"/>
        <v>2</v>
      </c>
      <c r="G1446" s="121" t="s">
        <v>3887</v>
      </c>
      <c r="H1446" s="12"/>
      <c r="I1446" s="192" t="str">
        <f>IFERROR(__xludf.DUMMYFUNCTION("regexreplace(lower(C1446), ""_"", """")"),"dischargehearingtestnormal")</f>
        <v>dischargehearingtestnormal</v>
      </c>
      <c r="J1446" s="192" t="b">
        <f t="shared" si="61"/>
        <v>1</v>
      </c>
      <c r="K1446" s="192" t="str">
        <f>IFERROR(__xludf.DUMMYFUNCTION("regexreplace(G1446, ""_"", """")"),"dischargehearingtestnormal")</f>
        <v>dischargehearingtestnormal</v>
      </c>
      <c r="L14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""$1$2"")"),"discharge_hearing_test_normal")</f>
        <v>discharge_hearing_test_normal</v>
      </c>
      <c r="M1446" s="193"/>
      <c r="N1446" s="200" t="s">
        <v>8416</v>
      </c>
      <c r="O1446" s="193"/>
      <c r="P1446" s="200" t="s">
        <v>3888</v>
      </c>
      <c r="Q1446" s="151" t="s">
        <v>3889</v>
      </c>
      <c r="R1446" s="207"/>
      <c r="S1446" s="207"/>
      <c r="T1446" s="193"/>
      <c r="U1446" s="193"/>
      <c r="V1446" s="193"/>
      <c r="W1446" s="193"/>
      <c r="X1446" s="193"/>
      <c r="Y1446" s="193"/>
      <c r="Z1446" s="193"/>
    </row>
    <row r="1447">
      <c r="A1447" s="33"/>
      <c r="B1447" s="33"/>
      <c r="C1447" s="12"/>
      <c r="D1447" s="12"/>
      <c r="E1447" s="15"/>
      <c r="F1447" s="123">
        <f t="shared" si="1"/>
        <v>0</v>
      </c>
      <c r="G1447" s="12" t="s">
        <v>851</v>
      </c>
      <c r="H1447" s="12"/>
      <c r="I1447" s="12" t="str">
        <f>IFERROR(__xludf.DUMMYFUNCTION("regexreplace(lower(C1447), ""_"", """")"),"")</f>
        <v/>
      </c>
      <c r="J1447" s="12" t="b">
        <f t="shared" si="61"/>
        <v>1</v>
      </c>
      <c r="K1447" s="12" t="str">
        <f>IFERROR(__xludf.DUMMYFUNCTION("regexreplace(G1447, ""_"", """")"),"")</f>
        <v/>
      </c>
      <c r="L144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47" s="40"/>
      <c r="P1447" s="40"/>
      <c r="Q1447" s="15"/>
      <c r="R1447" s="88"/>
      <c r="S1447" s="88"/>
    </row>
    <row r="1448">
      <c r="A1448" s="329" t="s">
        <v>8390</v>
      </c>
      <c r="B1448" s="329" t="s">
        <v>3890</v>
      </c>
      <c r="C1448" s="154" t="s">
        <v>3891</v>
      </c>
      <c r="D1448" s="154" t="s">
        <v>40</v>
      </c>
      <c r="E1448" s="151" t="s">
        <v>3892</v>
      </c>
      <c r="F1448" s="123">
        <f t="shared" si="1"/>
        <v>2</v>
      </c>
      <c r="G1448" s="121" t="s">
        <v>3893</v>
      </c>
      <c r="H1448" s="12"/>
      <c r="I1448" s="192" t="str">
        <f>IFERROR(__xludf.DUMMYFUNCTION("regexreplace(lower(C1448), ""_"", """")"),"dischargemajorsurgery")</f>
        <v>dischargemajorsurgery</v>
      </c>
      <c r="J1448" s="192" t="b">
        <f t="shared" si="61"/>
        <v>1</v>
      </c>
      <c r="K1448" s="192" t="str">
        <f>IFERROR(__xludf.DUMMYFUNCTION("regexreplace(G1448, ""_"", """")"),"dischargemajorsurgery")</f>
        <v>dischargemajorsurgery</v>
      </c>
      <c r="L14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""$1$2"")"),"discharge_major_surgery")</f>
        <v>discharge_major_surgery</v>
      </c>
      <c r="M1448" s="193"/>
      <c r="N1448" s="151"/>
      <c r="O1448" s="193"/>
      <c r="P1448" s="151" t="s">
        <v>3894</v>
      </c>
      <c r="Q1448" s="151" t="s">
        <v>3895</v>
      </c>
      <c r="R1448" s="207"/>
      <c r="S1448" s="207"/>
      <c r="T1448" s="193"/>
      <c r="U1448" s="193"/>
      <c r="V1448" s="193"/>
      <c r="W1448" s="193"/>
      <c r="X1448" s="193"/>
      <c r="Y1448" s="193"/>
      <c r="Z1448" s="193"/>
    </row>
    <row r="1449">
      <c r="A1449" s="329"/>
      <c r="B1449" s="329" t="s">
        <v>3890</v>
      </c>
      <c r="C1449" s="154" t="s">
        <v>3896</v>
      </c>
      <c r="D1449" s="154" t="s">
        <v>3897</v>
      </c>
      <c r="E1449" s="151" t="s">
        <v>3898</v>
      </c>
      <c r="F1449" s="123">
        <f t="shared" si="1"/>
        <v>2</v>
      </c>
      <c r="G1449" s="121" t="s">
        <v>3899</v>
      </c>
      <c r="H1449" s="12"/>
      <c r="I1449" s="192" t="str">
        <f>IFERROR(__xludf.DUMMYFUNCTION("regexreplace(lower(C1449), ""_"", """")"),"dischargesurgerycode1")</f>
        <v>dischargesurgerycode1</v>
      </c>
      <c r="J1449" s="192" t="b">
        <f t="shared" si="61"/>
        <v>1</v>
      </c>
      <c r="K1449" s="192" t="str">
        <f>IFERROR(__xludf.DUMMYFUNCTION("regexreplace(G1449, ""_"", """")"),"dischargesurgerycode1")</f>
        <v>dischargesurgerycode1</v>
      </c>
      <c r="L14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1449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""$1$2"")"),"discharge_surgery_code1")</f>
        <v>discharge_surgery_code1</v>
      </c>
      <c r="M1449" s="193"/>
      <c r="N1449" s="151"/>
      <c r="O1449" s="193"/>
      <c r="P1449" s="151" t="s">
        <v>3900</v>
      </c>
      <c r="Q1449" s="151" t="s">
        <v>3901</v>
      </c>
      <c r="R1449" s="207"/>
      <c r="S1449" s="207"/>
      <c r="T1449" s="193"/>
      <c r="U1449" s="193"/>
      <c r="V1449" s="193"/>
      <c r="W1449" s="193"/>
      <c r="X1449" s="193"/>
      <c r="Y1449" s="193"/>
      <c r="Z1449" s="193"/>
    </row>
    <row r="1450">
      <c r="A1450" s="329"/>
      <c r="B1450" s="329" t="s">
        <v>3890</v>
      </c>
      <c r="C1450" s="154" t="s">
        <v>3902</v>
      </c>
      <c r="D1450" s="154" t="s">
        <v>3897</v>
      </c>
      <c r="E1450" s="151" t="s">
        <v>3903</v>
      </c>
      <c r="F1450" s="123">
        <f t="shared" si="1"/>
        <v>2</v>
      </c>
      <c r="G1450" s="121" t="s">
        <v>3904</v>
      </c>
      <c r="H1450" s="12"/>
      <c r="I1450" s="192" t="str">
        <f>IFERROR(__xludf.DUMMYFUNCTION("regexreplace(lower(C1450), ""_"", """")"),"dischargesurgerycode2")</f>
        <v>dischargesurgerycode2</v>
      </c>
      <c r="J1450" s="192" t="b">
        <f t="shared" si="61"/>
        <v>1</v>
      </c>
      <c r="K1450" s="192" t="str">
        <f>IFERROR(__xludf.DUMMYFUNCTION("regexreplace(G1450, ""_"", """")"),"dischargesurgerycode2")</f>
        <v>dischargesurgerycode2</v>
      </c>
      <c r="L14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""$1$2"")"),"discharge_surgery_code2")</f>
        <v>discharge_surgery_code2</v>
      </c>
      <c r="M1450" s="193"/>
      <c r="N1450" s="151"/>
      <c r="O1450" s="193"/>
      <c r="P1450" s="151" t="s">
        <v>3905</v>
      </c>
      <c r="Q1450" s="151" t="s">
        <v>3906</v>
      </c>
      <c r="R1450" s="207"/>
      <c r="S1450" s="207"/>
      <c r="T1450" s="193"/>
      <c r="U1450" s="193"/>
      <c r="V1450" s="193"/>
      <c r="W1450" s="193"/>
      <c r="X1450" s="193"/>
      <c r="Y1450" s="193"/>
      <c r="Z1450" s="193"/>
    </row>
    <row r="1451">
      <c r="A1451" s="329"/>
      <c r="B1451" s="329" t="s">
        <v>3890</v>
      </c>
      <c r="C1451" s="154" t="s">
        <v>3907</v>
      </c>
      <c r="D1451" s="154" t="s">
        <v>3897</v>
      </c>
      <c r="E1451" s="151" t="s">
        <v>3908</v>
      </c>
      <c r="F1451" s="123">
        <f t="shared" si="1"/>
        <v>2</v>
      </c>
      <c r="G1451" s="121" t="s">
        <v>3909</v>
      </c>
      <c r="H1451" s="12"/>
      <c r="I1451" s="192" t="str">
        <f>IFERROR(__xludf.DUMMYFUNCTION("regexreplace(lower(C1451), ""_"", """")"),"dischargesurgerycode3")</f>
        <v>dischargesurgerycode3</v>
      </c>
      <c r="J1451" s="192" t="b">
        <f t="shared" si="61"/>
        <v>1</v>
      </c>
      <c r="K1451" s="192" t="str">
        <f>IFERROR(__xludf.DUMMYFUNCTION("regexreplace(G1451, ""_"", """")"),"dischargesurgerycode3")</f>
        <v>dischargesurgerycode3</v>
      </c>
      <c r="L14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""$1$2"")"),"discharge_surgery_code3")</f>
        <v>discharge_surgery_code3</v>
      </c>
      <c r="M1451" s="193"/>
      <c r="N1451" s="151"/>
      <c r="O1451" s="193"/>
      <c r="P1451" s="151" t="s">
        <v>3910</v>
      </c>
      <c r="Q1451" s="151" t="s">
        <v>3911</v>
      </c>
      <c r="R1451" s="207"/>
      <c r="S1451" s="207"/>
      <c r="T1451" s="193"/>
      <c r="U1451" s="193"/>
      <c r="V1451" s="193"/>
      <c r="W1451" s="193"/>
      <c r="X1451" s="193"/>
      <c r="Y1451" s="193"/>
      <c r="Z1451" s="193"/>
    </row>
    <row r="1452">
      <c r="A1452" s="33"/>
      <c r="B1452" s="33"/>
      <c r="C1452" s="12"/>
      <c r="D1452" s="12"/>
      <c r="E1452" s="15" t="s">
        <v>8417</v>
      </c>
      <c r="F1452" s="123">
        <f t="shared" si="1"/>
        <v>0</v>
      </c>
      <c r="G1452" s="12" t="s">
        <v>851</v>
      </c>
      <c r="H1452" s="12"/>
      <c r="I1452" s="12" t="str">
        <f>IFERROR(__xludf.DUMMYFUNCTION("regexreplace(lower(C1452), ""_"", """")"),"")</f>
        <v/>
      </c>
      <c r="J1452" s="12" t="b">
        <f t="shared" si="61"/>
        <v>1</v>
      </c>
      <c r="K1452" s="12" t="str">
        <f>IFERROR(__xludf.DUMMYFUNCTION("regexreplace(G1452, ""_"", """")"),"")</f>
        <v/>
      </c>
      <c r="L1452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52" s="88"/>
      <c r="P1452" s="88"/>
      <c r="Q1452" s="88"/>
      <c r="R1452" s="88"/>
      <c r="S1452" s="88"/>
    </row>
    <row r="1453">
      <c r="A1453" s="329" t="s">
        <v>8390</v>
      </c>
      <c r="B1453" s="329" t="s">
        <v>925</v>
      </c>
      <c r="C1453" s="154" t="s">
        <v>3912</v>
      </c>
      <c r="D1453" s="154" t="s">
        <v>40</v>
      </c>
      <c r="E1453" s="151" t="s">
        <v>3913</v>
      </c>
      <c r="F1453" s="123">
        <f t="shared" si="1"/>
        <v>2</v>
      </c>
      <c r="G1453" s="121" t="s">
        <v>3914</v>
      </c>
      <c r="H1453" s="12"/>
      <c r="I1453" s="192" t="str">
        <f>IFERROR(__xludf.DUMMYFUNCTION("regexreplace(lower(C1453), ""_"", """")"),"dischargesepticemia")</f>
        <v>dischargesepticemia</v>
      </c>
      <c r="J1453" s="192" t="b">
        <f t="shared" si="61"/>
        <v>1</v>
      </c>
      <c r="K1453" s="192" t="str">
        <f>IFERROR(__xludf.DUMMYFUNCTION("regexreplace(G1453, ""_"", """")"),"dischargesepticemia")</f>
        <v>dischargesepticemia</v>
      </c>
      <c r="L14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""$1$2"")"),"discharge_septicemia")</f>
        <v>discharge_septicemia</v>
      </c>
      <c r="M1453" s="193"/>
      <c r="N1453" s="151"/>
      <c r="O1453" s="193"/>
      <c r="P1453" s="151" t="s">
        <v>3915</v>
      </c>
      <c r="Q1453" s="151" t="s">
        <v>3916</v>
      </c>
      <c r="R1453" s="207"/>
      <c r="S1453" s="207"/>
      <c r="T1453" s="193"/>
      <c r="U1453" s="193"/>
      <c r="V1453" s="193"/>
      <c r="W1453" s="193"/>
      <c r="X1453" s="193"/>
      <c r="Y1453" s="193"/>
      <c r="Z1453" s="193"/>
    </row>
    <row r="1454">
      <c r="A1454" s="329"/>
      <c r="B1454" s="329" t="s">
        <v>925</v>
      </c>
      <c r="C1454" s="154" t="s">
        <v>3917</v>
      </c>
      <c r="D1454" s="154" t="s">
        <v>944</v>
      </c>
      <c r="E1454" s="151" t="s">
        <v>3918</v>
      </c>
      <c r="F1454" s="123">
        <f t="shared" si="1"/>
        <v>2</v>
      </c>
      <c r="G1454" s="121" t="s">
        <v>3919</v>
      </c>
      <c r="H1454" s="12"/>
      <c r="I1454" s="192" t="str">
        <f>IFERROR(__xludf.DUMMYFUNCTION("regexreplace(lower(C1454), ""_"", """")"),"dischargesepticemiaorganismcode1")</f>
        <v>dischargesepticemiaorganismcode1</v>
      </c>
      <c r="J1454" s="192" t="b">
        <f t="shared" si="61"/>
        <v>1</v>
      </c>
      <c r="K1454" s="192" t="str">
        <f>IFERROR(__xludf.DUMMYFUNCTION("regexreplace(G1454, ""_"", """")"),"dischargesepticemiaorganismcode1")</f>
        <v>dischargesepticemiaorganismcode1</v>
      </c>
      <c r="L14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""$1$2"")"),"discharge_septicemia_organism_code1")</f>
        <v>discharge_septicemia_organism_code1</v>
      </c>
      <c r="M1454" s="193"/>
      <c r="N1454" s="151"/>
      <c r="O1454" s="193"/>
      <c r="P1454" s="151" t="s">
        <v>3920</v>
      </c>
      <c r="Q1454" s="151" t="s">
        <v>3921</v>
      </c>
      <c r="R1454" s="207"/>
      <c r="S1454" s="207"/>
      <c r="T1454" s="193"/>
      <c r="U1454" s="193"/>
      <c r="V1454" s="193"/>
      <c r="W1454" s="193"/>
      <c r="X1454" s="193"/>
      <c r="Y1454" s="193"/>
      <c r="Z1454" s="193"/>
    </row>
    <row r="1455">
      <c r="A1455" s="329"/>
      <c r="B1455" s="329" t="s">
        <v>925</v>
      </c>
      <c r="C1455" s="154" t="s">
        <v>3922</v>
      </c>
      <c r="D1455" s="154" t="s">
        <v>944</v>
      </c>
      <c r="E1455" s="151" t="s">
        <v>3923</v>
      </c>
      <c r="F1455" s="123">
        <f t="shared" si="1"/>
        <v>2</v>
      </c>
      <c r="G1455" s="121" t="s">
        <v>3924</v>
      </c>
      <c r="H1455" s="12"/>
      <c r="I1455" s="192" t="str">
        <f>IFERROR(__xludf.DUMMYFUNCTION("regexreplace(lower(C1455), ""_"", """")"),"dischargesepticemiaorganismcode2")</f>
        <v>dischargesepticemiaorganismcode2</v>
      </c>
      <c r="J1455" s="192" t="b">
        <f t="shared" si="61"/>
        <v>1</v>
      </c>
      <c r="K1455" s="192" t="str">
        <f>IFERROR(__xludf.DUMMYFUNCTION("regexreplace(G1455, ""_"", """")"),"dischargesepticemiaorganismcode2")</f>
        <v>dischargesepticemiaorganismcode2</v>
      </c>
      <c r="L14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""$1$2"")"),"discharge_septicemia_organism_code2")</f>
        <v>discharge_septicemia_organism_code2</v>
      </c>
      <c r="M1455" s="193"/>
      <c r="N1455" s="151"/>
      <c r="O1455" s="193"/>
      <c r="P1455" s="151" t="s">
        <v>3925</v>
      </c>
      <c r="Q1455" s="151" t="s">
        <v>3926</v>
      </c>
      <c r="R1455" s="207"/>
      <c r="S1455" s="207"/>
      <c r="T1455" s="193"/>
      <c r="U1455" s="193"/>
      <c r="V1455" s="193"/>
      <c r="W1455" s="193"/>
      <c r="X1455" s="193"/>
      <c r="Y1455" s="193"/>
      <c r="Z1455" s="193"/>
    </row>
    <row r="1456">
      <c r="A1456" s="329"/>
      <c r="B1456" s="329" t="s">
        <v>925</v>
      </c>
      <c r="C1456" s="154" t="s">
        <v>3927</v>
      </c>
      <c r="D1456" s="154" t="s">
        <v>944</v>
      </c>
      <c r="E1456" s="151" t="s">
        <v>3928</v>
      </c>
      <c r="F1456" s="123">
        <f t="shared" si="1"/>
        <v>2</v>
      </c>
      <c r="G1456" s="121" t="s">
        <v>3929</v>
      </c>
      <c r="H1456" s="12"/>
      <c r="I1456" s="192" t="str">
        <f>IFERROR(__xludf.DUMMYFUNCTION("regexreplace(lower(C1456), ""_"", """")"),"dischargesepticemiaorganismcode3")</f>
        <v>dischargesepticemiaorganismcode3</v>
      </c>
      <c r="J1456" s="192" t="b">
        <f t="shared" si="61"/>
        <v>1</v>
      </c>
      <c r="K1456" s="192" t="str">
        <f>IFERROR(__xludf.DUMMYFUNCTION("regexreplace(G1456, ""_"", """")"),"dischargesepticemiaorganismcode3")</f>
        <v>dischargesepticemiaorganismcode3</v>
      </c>
      <c r="L14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""$1$2"")"),"discharge_septicemia_organism_code3")</f>
        <v>discharge_septicemia_organism_code3</v>
      </c>
      <c r="M1456" s="193"/>
      <c r="N1456" s="151"/>
      <c r="O1456" s="193"/>
      <c r="P1456" s="151" t="s">
        <v>3930</v>
      </c>
      <c r="Q1456" s="151" t="s">
        <v>3931</v>
      </c>
      <c r="R1456" s="207"/>
      <c r="S1456" s="207"/>
      <c r="T1456" s="193"/>
      <c r="U1456" s="193"/>
      <c r="V1456" s="193"/>
      <c r="W1456" s="193"/>
      <c r="X1456" s="193"/>
      <c r="Y1456" s="193"/>
      <c r="Z1456" s="193"/>
    </row>
    <row r="1457">
      <c r="A1457" s="329"/>
      <c r="B1457" s="329" t="s">
        <v>925</v>
      </c>
      <c r="C1457" s="154" t="s">
        <v>3932</v>
      </c>
      <c r="D1457" s="154" t="s">
        <v>40</v>
      </c>
      <c r="E1457" s="151" t="s">
        <v>3933</v>
      </c>
      <c r="F1457" s="123">
        <f t="shared" si="1"/>
        <v>2</v>
      </c>
      <c r="G1457" s="121" t="s">
        <v>3934</v>
      </c>
      <c r="H1457" s="12"/>
      <c r="I1457" s="192" t="str">
        <f>IFERROR(__xludf.DUMMYFUNCTION("regexreplace(lower(C1457), ""_"", """")"),"dischargemeningitisencephalitis")</f>
        <v>dischargemeningitisencephalitis</v>
      </c>
      <c r="J1457" s="192" t="b">
        <f t="shared" si="61"/>
        <v>1</v>
      </c>
      <c r="K1457" s="192" t="str">
        <f>IFERROR(__xludf.DUMMYFUNCTION("regexreplace(G1457, ""_"", """")"),"dischargemeningitisencephalitis")</f>
        <v>dischargemeningitisencephalitis</v>
      </c>
      <c r="L145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""$1$2"")"),"discharge_meningitis_encephalitis")</f>
        <v>discharge_meningitis_encephalitis</v>
      </c>
      <c r="M1457" s="193"/>
      <c r="N1457" s="151"/>
      <c r="O1457" s="193"/>
      <c r="P1457" s="151" t="s">
        <v>3935</v>
      </c>
      <c r="Q1457" s="151" t="s">
        <v>3936</v>
      </c>
      <c r="R1457" s="207"/>
      <c r="S1457" s="207"/>
      <c r="T1457" s="193"/>
      <c r="U1457" s="193"/>
      <c r="V1457" s="193"/>
      <c r="W1457" s="193"/>
      <c r="X1457" s="193"/>
      <c r="Y1457" s="193"/>
      <c r="Z1457" s="193"/>
    </row>
    <row r="1458">
      <c r="A1458" s="329"/>
      <c r="B1458" s="329" t="s">
        <v>925</v>
      </c>
      <c r="C1458" s="154" t="s">
        <v>3937</v>
      </c>
      <c r="D1458" s="154" t="s">
        <v>944</v>
      </c>
      <c r="E1458" s="151" t="s">
        <v>3938</v>
      </c>
      <c r="F1458" s="123">
        <f t="shared" si="1"/>
        <v>2</v>
      </c>
      <c r="G1458" s="121" t="s">
        <v>3939</v>
      </c>
      <c r="H1458" s="12"/>
      <c r="I1458" s="192" t="str">
        <f>IFERROR(__xludf.DUMMYFUNCTION("regexreplace(lower(C1458), ""_"", """")"),"dischargemeningitisorganismcode1")</f>
        <v>dischargemeningitisorganismcode1</v>
      </c>
      <c r="J1458" s="192" t="b">
        <f t="shared" si="61"/>
        <v>1</v>
      </c>
      <c r="K1458" s="192" t="str">
        <f>IFERROR(__xludf.DUMMYFUNCTION("regexreplace(G1458, ""_"", """")"),"dischargemeningitisorganismcode1")</f>
        <v>dischargemeningitisorganismcode1</v>
      </c>
      <c r="L145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""$1$2"")"),"discharge_meningitis_organism_code1")</f>
        <v>discharge_meningitis_organism_code1</v>
      </c>
      <c r="M1458" s="193"/>
      <c r="N1458" s="151"/>
      <c r="O1458" s="193"/>
      <c r="P1458" s="151" t="s">
        <v>3940</v>
      </c>
      <c r="Q1458" s="151" t="s">
        <v>3941</v>
      </c>
      <c r="R1458" s="207"/>
      <c r="S1458" s="207"/>
      <c r="T1458" s="193"/>
      <c r="U1458" s="193"/>
      <c r="V1458" s="193"/>
      <c r="W1458" s="193"/>
      <c r="X1458" s="193"/>
      <c r="Y1458" s="193"/>
      <c r="Z1458" s="193"/>
    </row>
    <row r="1459">
      <c r="A1459" s="329"/>
      <c r="B1459" s="329" t="s">
        <v>925</v>
      </c>
      <c r="C1459" s="154" t="s">
        <v>3942</v>
      </c>
      <c r="D1459" s="154" t="s">
        <v>944</v>
      </c>
      <c r="E1459" s="151" t="s">
        <v>3943</v>
      </c>
      <c r="F1459" s="123">
        <f t="shared" si="1"/>
        <v>2</v>
      </c>
      <c r="G1459" s="121" t="s">
        <v>3944</v>
      </c>
      <c r="H1459" s="12"/>
      <c r="I1459" s="192" t="str">
        <f>IFERROR(__xludf.DUMMYFUNCTION("regexreplace(lower(C1459), ""_"", """")"),"dischargemeningitisorganismcode2")</f>
        <v>dischargemeningitisorganismcode2</v>
      </c>
      <c r="J1459" s="192" t="b">
        <f t="shared" si="61"/>
        <v>1</v>
      </c>
      <c r="K1459" s="192" t="str">
        <f>IFERROR(__xludf.DUMMYFUNCTION("regexreplace(G1459, ""_"", """")"),"dischargemeningitisorganismcode2")</f>
        <v>dischargemeningitisorganismcode2</v>
      </c>
      <c r="L145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1459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""$1$2"")"),"discharge_meningitis_organism_code2")</f>
        <v>discharge_meningitis_organism_code2</v>
      </c>
      <c r="M1459" s="193"/>
      <c r="N1459" s="151"/>
      <c r="O1459" s="193"/>
      <c r="P1459" s="151" t="s">
        <v>3945</v>
      </c>
      <c r="Q1459" s="151" t="s">
        <v>3946</v>
      </c>
      <c r="R1459" s="207"/>
      <c r="S1459" s="207"/>
      <c r="T1459" s="193"/>
      <c r="U1459" s="193"/>
      <c r="V1459" s="193"/>
      <c r="W1459" s="193"/>
      <c r="X1459" s="193"/>
      <c r="Y1459" s="193"/>
      <c r="Z1459" s="193"/>
    </row>
    <row r="1460">
      <c r="A1460" s="329"/>
      <c r="B1460" s="329" t="s">
        <v>925</v>
      </c>
      <c r="C1460" s="154" t="s">
        <v>3947</v>
      </c>
      <c r="D1460" s="154" t="s">
        <v>944</v>
      </c>
      <c r="E1460" s="151" t="s">
        <v>3948</v>
      </c>
      <c r="F1460" s="123">
        <f t="shared" si="1"/>
        <v>2</v>
      </c>
      <c r="G1460" s="121" t="s">
        <v>3949</v>
      </c>
      <c r="H1460" s="12"/>
      <c r="I1460" s="192" t="str">
        <f>IFERROR(__xludf.DUMMYFUNCTION("regexreplace(lower(C1460), ""_"", """")"),"dischargemeningitisorganismcode3")</f>
        <v>dischargemeningitisorganismcode3</v>
      </c>
      <c r="J1460" s="192" t="b">
        <f t="shared" si="61"/>
        <v>1</v>
      </c>
      <c r="K1460" s="192" t="str">
        <f>IFERROR(__xludf.DUMMYFUNCTION("regexreplace(G1460, ""_"", """")"),"dischargemeningitisorganismcode3")</f>
        <v>dischargemeningitisorganismcode3</v>
      </c>
      <c r="L146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""$1$2"")"),"discharge_meningitis_organism_code3")</f>
        <v>discharge_meningitis_organism_code3</v>
      </c>
      <c r="M1460" s="193"/>
      <c r="N1460" s="151"/>
      <c r="O1460" s="193"/>
      <c r="P1460" s="151" t="s">
        <v>3950</v>
      </c>
      <c r="Q1460" s="151" t="s">
        <v>3951</v>
      </c>
      <c r="R1460" s="207"/>
      <c r="S1460" s="207"/>
      <c r="T1460" s="193"/>
      <c r="U1460" s="193"/>
      <c r="V1460" s="193"/>
      <c r="W1460" s="193"/>
      <c r="X1460" s="193"/>
      <c r="Y1460" s="193"/>
      <c r="Z1460" s="193"/>
    </row>
    <row r="1461">
      <c r="A1461" s="33"/>
      <c r="B1461" s="33"/>
      <c r="C1461" s="12"/>
      <c r="D1461" s="12"/>
      <c r="E1461" s="15" t="s">
        <v>8418</v>
      </c>
      <c r="F1461" s="123">
        <f t="shared" si="1"/>
        <v>0</v>
      </c>
      <c r="G1461" s="12" t="s">
        <v>851</v>
      </c>
      <c r="H1461" s="12"/>
      <c r="I1461" s="12" t="str">
        <f>IFERROR(__xludf.DUMMYFUNCTION("regexreplace(lower(C1461), ""_"", """")"),"")</f>
        <v/>
      </c>
      <c r="J1461" s="12" t="b">
        <f t="shared" si="61"/>
        <v>1</v>
      </c>
      <c r="K1461" s="12" t="str">
        <f>IFERROR(__xludf.DUMMYFUNCTION("regexreplace(G1461, ""_"", """")"),"")</f>
        <v/>
      </c>
      <c r="L1461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61" s="88"/>
      <c r="P1461" s="88"/>
      <c r="Q1461" s="88"/>
      <c r="R1461" s="88"/>
      <c r="S1461" s="88"/>
    </row>
    <row r="1462">
      <c r="A1462" s="329" t="s">
        <v>8390</v>
      </c>
      <c r="B1462" s="329" t="s">
        <v>3952</v>
      </c>
      <c r="C1462" s="154" t="s">
        <v>3953</v>
      </c>
      <c r="D1462" s="154" t="s">
        <v>40</v>
      </c>
      <c r="E1462" s="151" t="s">
        <v>3954</v>
      </c>
      <c r="F1462" s="123">
        <f t="shared" si="1"/>
        <v>4</v>
      </c>
      <c r="G1462" s="121" t="s">
        <v>3955</v>
      </c>
      <c r="H1462" s="12"/>
      <c r="I1462" s="192" t="str">
        <f>IFERROR(__xludf.DUMMYFUNCTION("regexreplace(lower(C1462), ""_"", """")"),"dischargeseizure")</f>
        <v>dischargeseizure</v>
      </c>
      <c r="J1462" s="192" t="b">
        <f t="shared" si="61"/>
        <v>1</v>
      </c>
      <c r="K1462" s="192" t="str">
        <f>IFERROR(__xludf.DUMMYFUNCTION("regexreplace(G1462, ""_"", """")"),"dischargeseizure")</f>
        <v>dischargeseizure</v>
      </c>
      <c r="L146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""$1$2"")"),"discharge_seizure")</f>
        <v>discharge_seizure</v>
      </c>
      <c r="M1462" s="193"/>
      <c r="N1462" s="151" t="s">
        <v>7604</v>
      </c>
      <c r="O1462" s="193"/>
      <c r="P1462" s="151" t="s">
        <v>3956</v>
      </c>
      <c r="Q1462" s="151" t="s">
        <v>3957</v>
      </c>
      <c r="R1462" s="151" t="s">
        <v>8419</v>
      </c>
      <c r="S1462" s="338" t="s">
        <v>8420</v>
      </c>
      <c r="T1462" s="193"/>
      <c r="U1462" s="193"/>
      <c r="V1462" s="193"/>
      <c r="W1462" s="193"/>
      <c r="X1462" s="193"/>
      <c r="Y1462" s="193"/>
      <c r="Z1462" s="193"/>
    </row>
    <row r="1463">
      <c r="A1463" s="329"/>
      <c r="B1463" s="329" t="s">
        <v>3952</v>
      </c>
      <c r="C1463" s="339" t="s">
        <v>8421</v>
      </c>
      <c r="D1463" s="339" t="s">
        <v>31</v>
      </c>
      <c r="E1463" s="338" t="s">
        <v>8422</v>
      </c>
      <c r="F1463" s="123">
        <f t="shared" si="1"/>
        <v>1</v>
      </c>
      <c r="G1463" s="121" t="s">
        <v>8423</v>
      </c>
      <c r="H1463" s="226"/>
      <c r="I1463" s="192" t="str">
        <f>IFERROR(__xludf.DUMMYFUNCTION("regexreplace(lower(C1463), ""_"", """")"),"dischargeseizureonsetageday")</f>
        <v>dischargeseizureonsetageday</v>
      </c>
      <c r="J1463" s="192" t="b">
        <f t="shared" si="61"/>
        <v>0</v>
      </c>
      <c r="K1463" s="192" t="str">
        <f>IFERROR(__xludf.DUMMYFUNCTION("regexreplace(G1463, ""_"", """")"),"dischargeseizureonsetage")</f>
        <v>dischargeseizureonsetage</v>
      </c>
      <c r="L146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""$1$2"")"),"discharge_seizure_onset_age_day")</f>
        <v>discharge_seizure_onset_age_day</v>
      </c>
      <c r="M1463" s="193"/>
      <c r="N1463" s="151" t="s">
        <v>8424</v>
      </c>
      <c r="O1463" s="193"/>
      <c r="P1463" s="151"/>
      <c r="Q1463" s="151"/>
      <c r="R1463" s="340"/>
      <c r="S1463" s="338" t="s">
        <v>8425</v>
      </c>
      <c r="T1463" s="193"/>
      <c r="U1463" s="193"/>
      <c r="V1463" s="193"/>
      <c r="W1463" s="193"/>
      <c r="X1463" s="193"/>
      <c r="Y1463" s="193"/>
      <c r="Z1463" s="193"/>
    </row>
    <row r="1464">
      <c r="A1464" s="329"/>
      <c r="B1464" s="329" t="s">
        <v>3952</v>
      </c>
      <c r="C1464" s="339" t="s">
        <v>8426</v>
      </c>
      <c r="D1464" s="339" t="s">
        <v>16</v>
      </c>
      <c r="E1464" s="338" t="s">
        <v>8427</v>
      </c>
      <c r="F1464" s="123">
        <f t="shared" si="1"/>
        <v>1</v>
      </c>
      <c r="G1464" s="121" t="s">
        <v>8428</v>
      </c>
      <c r="H1464" s="226"/>
      <c r="I1464" s="192" t="str">
        <f>IFERROR(__xludf.DUMMYFUNCTION("regexreplace(lower(C1464), ""_"", """")"),"dischargeseizuretype")</f>
        <v>dischargeseizuretype</v>
      </c>
      <c r="J1464" s="192" t="b">
        <f t="shared" si="61"/>
        <v>1</v>
      </c>
      <c r="K1464" s="192" t="str">
        <f>IFERROR(__xludf.DUMMYFUNCTION("regexreplace(G1464, ""_"", """")"),"dischargeseizuretype")</f>
        <v>dischargeseizuretype</v>
      </c>
      <c r="L146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""$1$2"")"),"discharge_seizure_type")</f>
        <v>discharge_seizure_type</v>
      </c>
      <c r="M1464" s="193"/>
      <c r="N1464" s="151" t="s">
        <v>8429</v>
      </c>
      <c r="O1464" s="193"/>
      <c r="P1464" s="151"/>
      <c r="Q1464" s="151"/>
      <c r="R1464" s="340"/>
      <c r="S1464" s="338" t="s">
        <v>8430</v>
      </c>
      <c r="T1464" s="193"/>
      <c r="U1464" s="193"/>
      <c r="V1464" s="193"/>
      <c r="W1464" s="193"/>
      <c r="X1464" s="193"/>
      <c r="Y1464" s="193"/>
      <c r="Z1464" s="193"/>
    </row>
    <row r="1465">
      <c r="A1465" s="329"/>
      <c r="B1465" s="329" t="s">
        <v>3952</v>
      </c>
      <c r="C1465" s="154" t="s">
        <v>3958</v>
      </c>
      <c r="D1465" s="154" t="s">
        <v>40</v>
      </c>
      <c r="E1465" s="151" t="s">
        <v>3959</v>
      </c>
      <c r="F1465" s="123">
        <f t="shared" si="1"/>
        <v>2</v>
      </c>
      <c r="G1465" s="121" t="s">
        <v>8431</v>
      </c>
      <c r="H1465" s="12"/>
      <c r="I1465" s="192" t="str">
        <f>IFERROR(__xludf.DUMMYFUNCTION("regexreplace(lower(C1465), ""_"", """")"),"dischargeseizurepreintervention")</f>
        <v>dischargeseizurepreintervention</v>
      </c>
      <c r="J1465" s="192" t="b">
        <f t="shared" si="61"/>
        <v>0</v>
      </c>
      <c r="K1465" s="192" t="str">
        <f>IFERROR(__xludf.DUMMYFUNCTION("regexreplace(G1465, ""_"", """")"),"dischargeseizurebeforebaseline")</f>
        <v>dischargeseizurebeforebaseline</v>
      </c>
      <c r="L146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""$1$2"")"),"discharge_seizure_pre_intervention")</f>
        <v>discharge_seizure_pre_intervention</v>
      </c>
      <c r="M1465" s="193"/>
      <c r="N1465" s="151"/>
      <c r="O1465" s="193"/>
      <c r="P1465" s="151" t="s">
        <v>3961</v>
      </c>
      <c r="Q1465" s="151" t="s">
        <v>3962</v>
      </c>
      <c r="R1465" s="207"/>
      <c r="S1465" s="207"/>
      <c r="T1465" s="193"/>
      <c r="U1465" s="193"/>
      <c r="V1465" s="193"/>
      <c r="W1465" s="193"/>
      <c r="X1465" s="193"/>
      <c r="Y1465" s="193"/>
      <c r="Z1465" s="193"/>
    </row>
    <row r="1466">
      <c r="A1466" s="329"/>
      <c r="B1466" s="329" t="s">
        <v>3952</v>
      </c>
      <c r="C1466" s="154" t="s">
        <v>3963</v>
      </c>
      <c r="D1466" s="154" t="s">
        <v>40</v>
      </c>
      <c r="E1466" s="151" t="s">
        <v>3964</v>
      </c>
      <c r="F1466" s="123">
        <f t="shared" si="1"/>
        <v>1</v>
      </c>
      <c r="G1466" s="121" t="s">
        <v>3965</v>
      </c>
      <c r="H1466" s="12"/>
      <c r="I1466" s="192" t="str">
        <f>IFERROR(__xludf.DUMMYFUNCTION("regexreplace(lower(C1466), ""_"", """")"),"dischargeseizureafterbaseline")</f>
        <v>dischargeseizureafterbaseline</v>
      </c>
      <c r="J1466" s="192" t="b">
        <f t="shared" si="61"/>
        <v>1</v>
      </c>
      <c r="K1466" s="192" t="str">
        <f>IFERROR(__xludf.DUMMYFUNCTION("regexreplace(G1466, ""_"", """")"),"dischargeseizureafterbaseline")</f>
        <v>dischargeseizureafterbaseline</v>
      </c>
      <c r="L146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""$1$2"")"),"discharge_seizure_after_baseline")</f>
        <v>discharge_seizure_after_baseline</v>
      </c>
      <c r="M1466" s="193"/>
      <c r="N1466" s="199"/>
      <c r="O1466" s="193"/>
      <c r="P1466" s="199"/>
      <c r="Q1466" s="151" t="s">
        <v>3966</v>
      </c>
      <c r="R1466" s="207"/>
      <c r="S1466" s="207"/>
      <c r="T1466" s="193"/>
      <c r="U1466" s="193"/>
      <c r="V1466" s="193"/>
      <c r="W1466" s="193"/>
      <c r="X1466" s="193"/>
      <c r="Y1466" s="193"/>
      <c r="Z1466" s="193"/>
    </row>
    <row r="1467">
      <c r="A1467" s="329"/>
      <c r="B1467" s="329" t="s">
        <v>3952</v>
      </c>
      <c r="C1467" s="154" t="s">
        <v>3967</v>
      </c>
      <c r="D1467" s="154" t="s">
        <v>40</v>
      </c>
      <c r="E1467" s="151" t="s">
        <v>3968</v>
      </c>
      <c r="F1467" s="123">
        <f t="shared" si="1"/>
        <v>2</v>
      </c>
      <c r="G1467" s="121" t="s">
        <v>3969</v>
      </c>
      <c r="H1467" s="12"/>
      <c r="I1467" s="192" t="str">
        <f>IFERROR(__xludf.DUMMYFUNCTION("regexreplace(lower(C1467), ""_"", """")"),"dischargeseizuremaintenance")</f>
        <v>dischargeseizuremaintenance</v>
      </c>
      <c r="J1467" s="192" t="b">
        <f t="shared" si="61"/>
        <v>1</v>
      </c>
      <c r="K1467" s="192" t="str">
        <f>IFERROR(__xludf.DUMMYFUNCTION("regexreplace(G1467, ""_"", """")"),"dischargeseizuremaintenance")</f>
        <v>dischargeseizuremaintenance</v>
      </c>
      <c r="L146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""$1$2"")"),"discharge_seizure_maintenance")</f>
        <v>discharge_seizure_maintenance</v>
      </c>
      <c r="M1467" s="193"/>
      <c r="N1467" s="151"/>
      <c r="O1467" s="193"/>
      <c r="P1467" s="151" t="s">
        <v>3970</v>
      </c>
      <c r="Q1467" s="151" t="s">
        <v>3971</v>
      </c>
      <c r="R1467" s="207"/>
      <c r="S1467" s="207"/>
      <c r="T1467" s="193"/>
      <c r="U1467" s="193"/>
      <c r="V1467" s="193"/>
      <c r="W1467" s="193"/>
      <c r="X1467" s="193"/>
      <c r="Y1467" s="193"/>
      <c r="Z1467" s="193"/>
    </row>
    <row r="1468">
      <c r="A1468" s="329"/>
      <c r="B1468" s="329" t="s">
        <v>3952</v>
      </c>
      <c r="C1468" s="154" t="s">
        <v>3972</v>
      </c>
      <c r="D1468" s="154" t="s">
        <v>40</v>
      </c>
      <c r="E1468" s="151" t="s">
        <v>3973</v>
      </c>
      <c r="F1468" s="123">
        <f t="shared" si="1"/>
        <v>2</v>
      </c>
      <c r="G1468" s="121" t="s">
        <v>3974</v>
      </c>
      <c r="H1468" s="12"/>
      <c r="I1468" s="192" t="str">
        <f>IFERROR(__xludf.DUMMYFUNCTION("regexreplace(lower(C1468), ""_"", """")"),"dischargeseizurerewarming")</f>
        <v>dischargeseizurerewarming</v>
      </c>
      <c r="J1468" s="192" t="b">
        <f t="shared" si="61"/>
        <v>1</v>
      </c>
      <c r="K1468" s="192" t="str">
        <f>IFERROR(__xludf.DUMMYFUNCTION("regexreplace(G1468, ""_"", """")"),"dischargeseizurerewarming")</f>
        <v>dischargeseizurerewarming</v>
      </c>
      <c r="L146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""$1$2"")"),"discharge_seizure_rewarming")</f>
        <v>discharge_seizure_rewarming</v>
      </c>
      <c r="M1468" s="193"/>
      <c r="N1468" s="151"/>
      <c r="O1468" s="193"/>
      <c r="P1468" s="151" t="s">
        <v>3975</v>
      </c>
      <c r="Q1468" s="151" t="s">
        <v>3976</v>
      </c>
      <c r="R1468" s="207"/>
      <c r="S1468" s="207"/>
      <c r="T1468" s="193"/>
      <c r="U1468" s="193"/>
      <c r="V1468" s="193"/>
      <c r="W1468" s="193"/>
      <c r="X1468" s="193"/>
      <c r="Y1468" s="193"/>
      <c r="Z1468" s="193"/>
    </row>
    <row r="1469">
      <c r="A1469" s="329"/>
      <c r="B1469" s="329" t="s">
        <v>3952</v>
      </c>
      <c r="C1469" s="154" t="s">
        <v>3977</v>
      </c>
      <c r="D1469" s="154" t="s">
        <v>40</v>
      </c>
      <c r="E1469" s="151" t="s">
        <v>3978</v>
      </c>
      <c r="F1469" s="123">
        <f t="shared" si="1"/>
        <v>2</v>
      </c>
      <c r="G1469" s="121" t="s">
        <v>8432</v>
      </c>
      <c r="H1469" s="12"/>
      <c r="I1469" s="192" t="str">
        <f>IFERROR(__xludf.DUMMYFUNCTION("regexreplace(lower(C1469), ""_"", """")"),"dischargeseizurepostintervention")</f>
        <v>dischargeseizurepostintervention</v>
      </c>
      <c r="J1469" s="192" t="b">
        <f t="shared" si="61"/>
        <v>0</v>
      </c>
      <c r="K1469" s="192" t="str">
        <f>IFERROR(__xludf.DUMMYFUNCTION("regexreplace(G1469, ""_"", """")"),"dischargeseizureposttreat")</f>
        <v>dischargeseizureposttreat</v>
      </c>
      <c r="L146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1469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""$1$2"")"),"discharge_seizure_post_intervention")</f>
        <v>discharge_seizure_post_intervention</v>
      </c>
      <c r="M1469" s="193"/>
      <c r="N1469" s="151"/>
      <c r="O1469" s="193"/>
      <c r="P1469" s="151" t="s">
        <v>3980</v>
      </c>
      <c r="Q1469" s="151" t="s">
        <v>3981</v>
      </c>
      <c r="R1469" s="207"/>
      <c r="S1469" s="207"/>
      <c r="T1469" s="193"/>
      <c r="U1469" s="193"/>
      <c r="V1469" s="193"/>
      <c r="W1469" s="193"/>
      <c r="X1469" s="193"/>
      <c r="Y1469" s="193"/>
      <c r="Z1469" s="193"/>
    </row>
    <row r="1470">
      <c r="A1470" s="329"/>
      <c r="B1470" s="329" t="s">
        <v>3952</v>
      </c>
      <c r="C1470" s="154" t="s">
        <v>3982</v>
      </c>
      <c r="D1470" s="154" t="s">
        <v>40</v>
      </c>
      <c r="E1470" s="151" t="s">
        <v>3983</v>
      </c>
      <c r="F1470" s="123">
        <f t="shared" si="1"/>
        <v>2</v>
      </c>
      <c r="G1470" s="121" t="s">
        <v>3984</v>
      </c>
      <c r="H1470" s="12"/>
      <c r="I1470" s="192" t="str">
        <f>IFERROR(__xludf.DUMMYFUNCTION("regexreplace(lower(C1470), ""_"", """")"),"dischargeeeg")</f>
        <v>dischargeeeg</v>
      </c>
      <c r="J1470" s="192" t="b">
        <f t="shared" si="61"/>
        <v>1</v>
      </c>
      <c r="K1470" s="192" t="str">
        <f>IFERROR(__xludf.DUMMYFUNCTION("regexreplace(G1470, ""_"", """")"),"dischargeeeg")</f>
        <v>dischargeeeg</v>
      </c>
      <c r="L147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""$1$2"")"),"discharge_eeg")</f>
        <v>discharge_eeg</v>
      </c>
      <c r="M1470" s="193"/>
      <c r="N1470" s="151"/>
      <c r="O1470" s="193"/>
      <c r="P1470" s="151" t="s">
        <v>3985</v>
      </c>
      <c r="Q1470" s="151" t="s">
        <v>3986</v>
      </c>
      <c r="R1470" s="207"/>
      <c r="S1470" s="207"/>
      <c r="T1470" s="193"/>
      <c r="U1470" s="193"/>
      <c r="V1470" s="193"/>
      <c r="W1470" s="193"/>
      <c r="X1470" s="193"/>
      <c r="Y1470" s="193"/>
      <c r="Z1470" s="193"/>
    </row>
    <row r="1471">
      <c r="A1471" s="329"/>
      <c r="B1471" s="329" t="s">
        <v>3952</v>
      </c>
      <c r="C1471" s="154" t="s">
        <v>3987</v>
      </c>
      <c r="D1471" s="154" t="s">
        <v>40</v>
      </c>
      <c r="E1471" s="151" t="s">
        <v>3988</v>
      </c>
      <c r="F1471" s="123">
        <f t="shared" si="1"/>
        <v>2</v>
      </c>
      <c r="G1471" s="121" t="s">
        <v>3989</v>
      </c>
      <c r="H1471" s="12"/>
      <c r="I1471" s="192" t="str">
        <f>IFERROR(__xludf.DUMMYFUNCTION("regexreplace(lower(C1471), ""_"", """")"),"dischargeeegfindingconsistentwithseizure")</f>
        <v>dischargeeegfindingconsistentwithseizure</v>
      </c>
      <c r="J1471" s="192" t="b">
        <f t="shared" si="61"/>
        <v>1</v>
      </c>
      <c r="K1471" s="192" t="str">
        <f>IFERROR(__xludf.DUMMYFUNCTION("regexreplace(G1471, ""_"", """")"),"dischargeeegfindingconsistentwithseizure")</f>
        <v>dischargeeegfindingconsistentwithseizure</v>
      </c>
      <c r="L147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""$1$2"")"),"discharge_eeg_finding_consistent_with_seizure")</f>
        <v>discharge_eeg_finding_consistent_with_seizure</v>
      </c>
      <c r="M1471" s="193"/>
      <c r="N1471" s="151" t="s">
        <v>8433</v>
      </c>
      <c r="O1471" s="193"/>
      <c r="P1471" s="151" t="s">
        <v>3990</v>
      </c>
      <c r="Q1471" s="151" t="s">
        <v>3991</v>
      </c>
      <c r="R1471" s="207"/>
      <c r="S1471" s="207"/>
      <c r="T1471" s="193"/>
      <c r="U1471" s="193"/>
      <c r="V1471" s="193"/>
      <c r="W1471" s="193"/>
      <c r="X1471" s="193"/>
      <c r="Y1471" s="193"/>
      <c r="Z1471" s="193"/>
    </row>
    <row r="1472">
      <c r="A1472" s="329"/>
      <c r="B1472" s="329" t="s">
        <v>3952</v>
      </c>
      <c r="C1472" s="154" t="s">
        <v>3992</v>
      </c>
      <c r="D1472" s="154" t="s">
        <v>26</v>
      </c>
      <c r="E1472" s="151" t="s">
        <v>3993</v>
      </c>
      <c r="F1472" s="123">
        <f t="shared" si="1"/>
        <v>2</v>
      </c>
      <c r="G1472" s="121" t="s">
        <v>3994</v>
      </c>
      <c r="H1472" s="12"/>
      <c r="I1472" s="192" t="str">
        <f>IFERROR(__xludf.DUMMYFUNCTION("regexreplace(lower(C1472), ""_"", """")"),"dischargeeegfindingconsistentwithseizuredate")</f>
        <v>dischargeeegfindingconsistentwithseizuredate</v>
      </c>
      <c r="J1472" s="192" t="b">
        <f t="shared" si="61"/>
        <v>1</v>
      </c>
      <c r="K1472" s="192" t="str">
        <f>IFERROR(__xludf.DUMMYFUNCTION("regexreplace(G1472, ""_"", """")"),"dischargeeegfindingconsistentwithseizuredate")</f>
        <v>dischargeeegfindingconsistentwithseizuredate</v>
      </c>
      <c r="L147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""$1$2"")"),"discharge_eeg_finding_consistent_with_seizure_date")</f>
        <v>discharge_eeg_finding_consistent_with_seizure_date</v>
      </c>
      <c r="M1472" s="193"/>
      <c r="N1472" s="151"/>
      <c r="O1472" s="193"/>
      <c r="P1472" s="151" t="s">
        <v>3995</v>
      </c>
      <c r="Q1472" s="151" t="s">
        <v>3996</v>
      </c>
      <c r="R1472" s="207"/>
      <c r="S1472" s="207"/>
      <c r="T1472" s="193"/>
      <c r="U1472" s="193"/>
      <c r="V1472" s="193"/>
      <c r="W1472" s="193"/>
      <c r="X1472" s="193"/>
      <c r="Y1472" s="193"/>
      <c r="Z1472" s="193"/>
    </row>
    <row r="1473">
      <c r="A1473" s="329"/>
      <c r="B1473" s="329" t="s">
        <v>3952</v>
      </c>
      <c r="C1473" s="154" t="s">
        <v>3997</v>
      </c>
      <c r="D1473" s="154" t="s">
        <v>145</v>
      </c>
      <c r="E1473" s="151" t="s">
        <v>3998</v>
      </c>
      <c r="F1473" s="123">
        <f t="shared" si="1"/>
        <v>2</v>
      </c>
      <c r="G1473" s="121" t="s">
        <v>3999</v>
      </c>
      <c r="H1473" s="12"/>
      <c r="I1473" s="192" t="str">
        <f>IFERROR(__xludf.DUMMYFUNCTION("regexreplace(lower(C1473), ""_"", """")"),"dischargeeegfindingconsistentwithseizuretime")</f>
        <v>dischargeeegfindingconsistentwithseizuretime</v>
      </c>
      <c r="J1473" s="192" t="b">
        <f t="shared" si="61"/>
        <v>1</v>
      </c>
      <c r="K1473" s="192" t="str">
        <f>IFERROR(__xludf.DUMMYFUNCTION("regexreplace(G1473, ""_"", """")"),"dischargeeegfindingconsistentwithseizuretime")</f>
        <v>dischargeeegfindingconsistentwithseizuretime</v>
      </c>
      <c r="L147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""$1$2"")"),"discharge_eeg_finding_consistent_with_seizure_time")</f>
        <v>discharge_eeg_finding_consistent_with_seizure_time</v>
      </c>
      <c r="M1473" s="193"/>
      <c r="N1473" s="151"/>
      <c r="O1473" s="193"/>
      <c r="P1473" s="151" t="s">
        <v>4000</v>
      </c>
      <c r="Q1473" s="151" t="s">
        <v>4001</v>
      </c>
      <c r="R1473" s="207"/>
      <c r="S1473" s="207"/>
      <c r="T1473" s="193"/>
      <c r="U1473" s="193"/>
      <c r="V1473" s="193"/>
      <c r="W1473" s="193"/>
      <c r="X1473" s="193"/>
      <c r="Y1473" s="193"/>
      <c r="Z1473" s="193"/>
    </row>
    <row r="1474">
      <c r="A1474" s="329"/>
      <c r="B1474" s="329" t="s">
        <v>3952</v>
      </c>
      <c r="C1474" s="154" t="s">
        <v>4002</v>
      </c>
      <c r="D1474" s="154" t="s">
        <v>40</v>
      </c>
      <c r="E1474" s="151" t="s">
        <v>4003</v>
      </c>
      <c r="F1474" s="123">
        <f t="shared" si="1"/>
        <v>2</v>
      </c>
      <c r="G1474" s="121" t="s">
        <v>4004</v>
      </c>
      <c r="H1474" s="12"/>
      <c r="I1474" s="192" t="str">
        <f>IFERROR(__xludf.DUMMYFUNCTION("regexreplace(lower(C1474), ""_"", """")"),"dischargeeegabnormalbackgroundactivity")</f>
        <v>dischargeeegabnormalbackgroundactivity</v>
      </c>
      <c r="J1474" s="192" t="b">
        <f t="shared" si="61"/>
        <v>1</v>
      </c>
      <c r="K1474" s="192" t="str">
        <f>IFERROR(__xludf.DUMMYFUNCTION("regexreplace(G1474, ""_"", """")"),"dischargeeegabnormalbackgroundactivity")</f>
        <v>dischargeeegabnormalbackgroundactivity</v>
      </c>
      <c r="L147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""$1$2"")"),"discharge_eeg_abnormal_background_activity")</f>
        <v>discharge_eeg_abnormal_background_activity</v>
      </c>
      <c r="M1474" s="193"/>
      <c r="N1474" s="151"/>
      <c r="O1474" s="193"/>
      <c r="P1474" s="151" t="s">
        <v>4005</v>
      </c>
      <c r="Q1474" s="151" t="s">
        <v>4006</v>
      </c>
      <c r="R1474" s="207"/>
      <c r="S1474" s="207"/>
      <c r="T1474" s="193"/>
      <c r="U1474" s="193"/>
      <c r="V1474" s="193"/>
      <c r="W1474" s="193"/>
      <c r="X1474" s="193"/>
      <c r="Y1474" s="193"/>
      <c r="Z1474" s="193"/>
    </row>
    <row r="1475">
      <c r="A1475" s="329"/>
      <c r="B1475" s="329" t="s">
        <v>3952</v>
      </c>
      <c r="C1475" s="154" t="s">
        <v>4007</v>
      </c>
      <c r="D1475" s="154" t="s">
        <v>26</v>
      </c>
      <c r="E1475" s="151" t="s">
        <v>4008</v>
      </c>
      <c r="F1475" s="123">
        <f t="shared" si="1"/>
        <v>2</v>
      </c>
      <c r="G1475" s="121" t="s">
        <v>4009</v>
      </c>
      <c r="H1475" s="12"/>
      <c r="I1475" s="192" t="str">
        <f>IFERROR(__xludf.DUMMYFUNCTION("regexreplace(lower(C1475), ""_"", """")"),"dischargeeegabnormalbackgroundactivitydate")</f>
        <v>dischargeeegabnormalbackgroundactivitydate</v>
      </c>
      <c r="J1475" s="192" t="b">
        <f t="shared" si="61"/>
        <v>1</v>
      </c>
      <c r="K1475" s="192" t="str">
        <f>IFERROR(__xludf.DUMMYFUNCTION("regexreplace(G1475, ""_"", """")"),"dischargeeegabnormalbackgroundactivitydate")</f>
        <v>dischargeeegabnormalbackgroundactivitydate</v>
      </c>
      <c r="L147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""$1$2"")"),"discharge_eeg_abnormal_background_activity_date")</f>
        <v>discharge_eeg_abnormal_background_activity_date</v>
      </c>
      <c r="M1475" s="193"/>
      <c r="N1475" s="151"/>
      <c r="O1475" s="193"/>
      <c r="P1475" s="151" t="s">
        <v>4010</v>
      </c>
      <c r="Q1475" s="151" t="s">
        <v>4011</v>
      </c>
      <c r="R1475" s="207"/>
      <c r="S1475" s="207"/>
      <c r="T1475" s="193"/>
      <c r="U1475" s="193"/>
      <c r="V1475" s="193"/>
      <c r="W1475" s="193"/>
      <c r="X1475" s="193"/>
      <c r="Y1475" s="193"/>
      <c r="Z1475" s="193"/>
    </row>
    <row r="1476">
      <c r="A1476" s="329"/>
      <c r="B1476" s="329" t="s">
        <v>3952</v>
      </c>
      <c r="C1476" s="154" t="s">
        <v>4012</v>
      </c>
      <c r="D1476" s="154" t="s">
        <v>145</v>
      </c>
      <c r="E1476" s="151" t="s">
        <v>4013</v>
      </c>
      <c r="F1476" s="123">
        <f t="shared" si="1"/>
        <v>2</v>
      </c>
      <c r="G1476" s="121" t="s">
        <v>4014</v>
      </c>
      <c r="H1476" s="12"/>
      <c r="I1476" s="192" t="str">
        <f>IFERROR(__xludf.DUMMYFUNCTION("regexreplace(lower(C1476), ""_"", """")"),"dischargeeegabnormalbackgroundactivitytime")</f>
        <v>dischargeeegabnormalbackgroundactivitytime</v>
      </c>
      <c r="J1476" s="192" t="b">
        <f t="shared" si="61"/>
        <v>1</v>
      </c>
      <c r="K1476" s="192" t="str">
        <f>IFERROR(__xludf.DUMMYFUNCTION("regexreplace(G1476, ""_"", """")"),"dischargeeegabnormalbackgroundactivitytime")</f>
        <v>dischargeeegabnormalbackgroundactivitytime</v>
      </c>
      <c r="L147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""$1$2"")"),"discharge_eeg_abnormal_background_activity_time")</f>
        <v>discharge_eeg_abnormal_background_activity_time</v>
      </c>
      <c r="M1476" s="193"/>
      <c r="N1476" s="151"/>
      <c r="O1476" s="193"/>
      <c r="P1476" s="151" t="s">
        <v>4015</v>
      </c>
      <c r="Q1476" s="151" t="s">
        <v>4016</v>
      </c>
      <c r="R1476" s="207"/>
      <c r="S1476" s="207"/>
      <c r="T1476" s="193"/>
      <c r="U1476" s="193"/>
      <c r="V1476" s="193"/>
      <c r="W1476" s="193"/>
      <c r="X1476" s="193"/>
      <c r="Y1476" s="193"/>
      <c r="Z1476" s="193"/>
    </row>
    <row r="1477">
      <c r="A1477" s="329"/>
      <c r="B1477" s="329" t="s">
        <v>3952</v>
      </c>
      <c r="C1477" s="154" t="s">
        <v>4017</v>
      </c>
      <c r="D1477" s="154" t="s">
        <v>40</v>
      </c>
      <c r="E1477" s="151" t="s">
        <v>4018</v>
      </c>
      <c r="F1477" s="123">
        <f t="shared" si="1"/>
        <v>2</v>
      </c>
      <c r="G1477" s="121" t="s">
        <v>4019</v>
      </c>
      <c r="H1477" s="12"/>
      <c r="I1477" s="192" t="str">
        <f>IFERROR(__xludf.DUMMYFUNCTION("regexreplace(lower(C1477), ""_"", """")"),"dischargeanticonvulsantsover72h")</f>
        <v>dischargeanticonvulsantsover72h</v>
      </c>
      <c r="J1477" s="192" t="b">
        <f t="shared" si="61"/>
        <v>1</v>
      </c>
      <c r="K1477" s="192" t="str">
        <f>IFERROR(__xludf.DUMMYFUNCTION("regexreplace(G1477, ""_"", """")"),"dischargeanticonvulsantsover72h")</f>
        <v>dischargeanticonvulsantsover72h</v>
      </c>
      <c r="L147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""$1$2"")"),"discharge_anticonvulsants_over72h")</f>
        <v>discharge_anticonvulsants_over72h</v>
      </c>
      <c r="M1477" s="193"/>
      <c r="N1477" s="151"/>
      <c r="O1477" s="193"/>
      <c r="P1477" s="151" t="s">
        <v>4020</v>
      </c>
      <c r="Q1477" s="151" t="s">
        <v>4021</v>
      </c>
      <c r="R1477" s="207"/>
      <c r="S1477" s="207"/>
      <c r="T1477" s="193"/>
      <c r="U1477" s="193"/>
      <c r="V1477" s="193"/>
      <c r="W1477" s="193"/>
      <c r="X1477" s="193"/>
      <c r="Y1477" s="193"/>
      <c r="Z1477" s="193"/>
    </row>
    <row r="1478">
      <c r="A1478" s="33"/>
      <c r="B1478" s="33"/>
      <c r="C1478" s="12"/>
      <c r="D1478" s="12"/>
      <c r="E1478" s="15" t="s">
        <v>8434</v>
      </c>
      <c r="F1478" s="123">
        <f t="shared" si="1"/>
        <v>0</v>
      </c>
      <c r="G1478" s="12" t="s">
        <v>851</v>
      </c>
      <c r="H1478" s="12"/>
      <c r="I1478" s="12" t="str">
        <f>IFERROR(__xludf.DUMMYFUNCTION("regexreplace(lower(C1478), ""_"", """")"),"")</f>
        <v/>
      </c>
      <c r="J1478" s="12" t="b">
        <f t="shared" si="61"/>
        <v>1</v>
      </c>
      <c r="K1478" s="12" t="str">
        <f>IFERROR(__xludf.DUMMYFUNCTION("regexreplace(G1478, ""_"", """")"),"")</f>
        <v/>
      </c>
      <c r="L1478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78" s="88"/>
      <c r="P1478" s="88"/>
      <c r="Q1478" s="88"/>
      <c r="R1478" s="88"/>
      <c r="S1478" s="88"/>
    </row>
    <row r="1479">
      <c r="A1479" s="329" t="s">
        <v>8390</v>
      </c>
      <c r="B1479" s="329" t="s">
        <v>4022</v>
      </c>
      <c r="C1479" s="154" t="s">
        <v>4023</v>
      </c>
      <c r="D1479" s="154" t="s">
        <v>40</v>
      </c>
      <c r="E1479" s="151" t="s">
        <v>4024</v>
      </c>
      <c r="F1479" s="123">
        <f t="shared" si="1"/>
        <v>2</v>
      </c>
      <c r="G1479" s="121" t="s">
        <v>4025</v>
      </c>
      <c r="H1479" s="12"/>
      <c r="I1479" s="192" t="str">
        <f>IFERROR(__xludf.DUMMYFUNCTION("regexreplace(lower(C1479), ""_"", """")"),"dischargesyndromemalformation")</f>
        <v>dischargesyndromemalformation</v>
      </c>
      <c r="J1479" s="192" t="b">
        <f t="shared" si="61"/>
        <v>1</v>
      </c>
      <c r="K1479" s="192" t="str">
        <f>IFERROR(__xludf.DUMMYFUNCTION("regexreplace(G1479, ""_"", """")"),"dischargesyndromemalformation")</f>
        <v>dischargesyndromemalformation</v>
      </c>
      <c r="L147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1479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""$1$2"")"),"discharge_syndrome_malformation")</f>
        <v>discharge_syndrome_malformation</v>
      </c>
      <c r="M1479" s="193"/>
      <c r="N1479" s="151"/>
      <c r="O1479" s="193"/>
      <c r="P1479" s="151" t="s">
        <v>4026</v>
      </c>
      <c r="Q1479" s="151" t="s">
        <v>4027</v>
      </c>
      <c r="R1479" s="207"/>
      <c r="S1479" s="207"/>
      <c r="T1479" s="193"/>
      <c r="U1479" s="193"/>
      <c r="V1479" s="193"/>
      <c r="W1479" s="193"/>
      <c r="X1479" s="193"/>
      <c r="Y1479" s="193"/>
      <c r="Z1479" s="193"/>
    </row>
    <row r="1480">
      <c r="A1480" s="329"/>
      <c r="B1480" s="329" t="s">
        <v>4022</v>
      </c>
      <c r="C1480" s="154" t="s">
        <v>4028</v>
      </c>
      <c r="D1480" s="154" t="s">
        <v>4029</v>
      </c>
      <c r="E1480" s="151" t="s">
        <v>4030</v>
      </c>
      <c r="F1480" s="123">
        <f t="shared" si="1"/>
        <v>2</v>
      </c>
      <c r="G1480" s="121" t="s">
        <v>4031</v>
      </c>
      <c r="H1480" s="12"/>
      <c r="I1480" s="192" t="str">
        <f>IFERROR(__xludf.DUMMYFUNCTION("regexreplace(lower(C1480), ""_"", """")"),"dischargebirthdefectcode1")</f>
        <v>dischargebirthdefectcode1</v>
      </c>
      <c r="J1480" s="192" t="b">
        <f t="shared" si="61"/>
        <v>1</v>
      </c>
      <c r="K1480" s="192" t="str">
        <f>IFERROR(__xludf.DUMMYFUNCTION("regexreplace(G1480, ""_"", """")"),"dischargebirthdefectcode1")</f>
        <v>dischargebirthdefectcode1</v>
      </c>
      <c r="L148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""$1$2"")"),"discharge_birth_defect_code1")</f>
        <v>discharge_birth_defect_code1</v>
      </c>
      <c r="M1480" s="193"/>
      <c r="N1480" s="151"/>
      <c r="O1480" s="193"/>
      <c r="P1480" s="151" t="s">
        <v>4032</v>
      </c>
      <c r="Q1480" s="151" t="s">
        <v>4033</v>
      </c>
      <c r="R1480" s="207"/>
      <c r="S1480" s="207"/>
      <c r="T1480" s="193"/>
      <c r="U1480" s="193"/>
      <c r="V1480" s="193"/>
      <c r="W1480" s="193"/>
      <c r="X1480" s="193"/>
      <c r="Y1480" s="193"/>
      <c r="Z1480" s="193"/>
    </row>
    <row r="1481">
      <c r="A1481" s="329"/>
      <c r="B1481" s="329" t="s">
        <v>4022</v>
      </c>
      <c r="C1481" s="154" t="s">
        <v>4034</v>
      </c>
      <c r="D1481" s="154" t="s">
        <v>4029</v>
      </c>
      <c r="E1481" s="151" t="s">
        <v>4035</v>
      </c>
      <c r="F1481" s="123">
        <f t="shared" si="1"/>
        <v>2</v>
      </c>
      <c r="G1481" s="121" t="s">
        <v>4036</v>
      </c>
      <c r="H1481" s="12"/>
      <c r="I1481" s="192" t="str">
        <f>IFERROR(__xludf.DUMMYFUNCTION("regexreplace(lower(C1481), ""_"", """")"),"dischargebirthdefectcode2")</f>
        <v>dischargebirthdefectcode2</v>
      </c>
      <c r="J1481" s="192" t="b">
        <f t="shared" si="61"/>
        <v>1</v>
      </c>
      <c r="K1481" s="192" t="str">
        <f>IFERROR(__xludf.DUMMYFUNCTION("regexreplace(G1481, ""_"", """")"),"dischargebirthdefectcode2")</f>
        <v>dischargebirthdefectcode2</v>
      </c>
      <c r="L148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""$1$2"")"),"discharge_birth_defect_code2")</f>
        <v>discharge_birth_defect_code2</v>
      </c>
      <c r="M1481" s="193"/>
      <c r="N1481" s="151"/>
      <c r="O1481" s="193"/>
      <c r="P1481" s="151" t="s">
        <v>4037</v>
      </c>
      <c r="Q1481" s="151" t="s">
        <v>4038</v>
      </c>
      <c r="R1481" s="207"/>
      <c r="S1481" s="207"/>
      <c r="T1481" s="193"/>
      <c r="U1481" s="193"/>
      <c r="V1481" s="193"/>
      <c r="W1481" s="193"/>
      <c r="X1481" s="193"/>
      <c r="Y1481" s="193"/>
      <c r="Z1481" s="193"/>
    </row>
    <row r="1482">
      <c r="A1482" s="329"/>
      <c r="B1482" s="329" t="s">
        <v>4022</v>
      </c>
      <c r="C1482" s="154" t="s">
        <v>4039</v>
      </c>
      <c r="D1482" s="154" t="s">
        <v>4029</v>
      </c>
      <c r="E1482" s="151" t="s">
        <v>4040</v>
      </c>
      <c r="F1482" s="123">
        <f t="shared" si="1"/>
        <v>2</v>
      </c>
      <c r="G1482" s="121" t="s">
        <v>4041</v>
      </c>
      <c r="H1482" s="12"/>
      <c r="I1482" s="192" t="str">
        <f>IFERROR(__xludf.DUMMYFUNCTION("regexreplace(lower(C1482), ""_"", """")"),"dischargebirthdefectcode3")</f>
        <v>dischargebirthdefectcode3</v>
      </c>
      <c r="J1482" s="192" t="b">
        <f t="shared" si="61"/>
        <v>1</v>
      </c>
      <c r="K1482" s="192" t="str">
        <f>IFERROR(__xludf.DUMMYFUNCTION("regexreplace(G1482, ""_"", """")"),"dischargebirthdefectcode3")</f>
        <v>dischargebirthdefectcode3</v>
      </c>
      <c r="L148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""$1$2"")"),"discharge_birth_defect_code3")</f>
        <v>discharge_birth_defect_code3</v>
      </c>
      <c r="M1482" s="193"/>
      <c r="N1482" s="151"/>
      <c r="O1482" s="193"/>
      <c r="P1482" s="151" t="s">
        <v>4042</v>
      </c>
      <c r="Q1482" s="151" t="s">
        <v>4043</v>
      </c>
      <c r="R1482" s="207"/>
      <c r="S1482" s="207"/>
      <c r="T1482" s="193"/>
      <c r="U1482" s="193"/>
      <c r="V1482" s="193"/>
      <c r="W1482" s="193"/>
      <c r="X1482" s="193"/>
      <c r="Y1482" s="193"/>
      <c r="Z1482" s="193"/>
    </row>
    <row r="1483">
      <c r="A1483" s="117"/>
      <c r="B1483" s="117"/>
      <c r="C1483" s="12"/>
      <c r="D1483" s="12"/>
      <c r="E1483" s="15" t="s">
        <v>8435</v>
      </c>
      <c r="F1483" s="123">
        <f t="shared" si="1"/>
        <v>0</v>
      </c>
      <c r="G1483" s="12" t="s">
        <v>851</v>
      </c>
      <c r="H1483" s="12"/>
      <c r="I1483" s="12" t="str">
        <f>IFERROR(__xludf.DUMMYFUNCTION("regexreplace(lower(C1483), ""_"", """")"),"")</f>
        <v/>
      </c>
      <c r="J1483" s="12" t="b">
        <f t="shared" si="61"/>
        <v>1</v>
      </c>
      <c r="K1483" s="12" t="str">
        <f>IFERROR(__xludf.DUMMYFUNCTION("regexreplace(G1483, ""_"", """")"),"")</f>
        <v/>
      </c>
      <c r="L1483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483" s="88"/>
      <c r="P1483" s="88"/>
      <c r="Q1483" s="88"/>
      <c r="R1483" s="88"/>
      <c r="S1483" s="88"/>
    </row>
    <row r="1484">
      <c r="A1484" s="329" t="s">
        <v>8390</v>
      </c>
      <c r="B1484" s="329" t="s">
        <v>4044</v>
      </c>
      <c r="C1484" s="154" t="s">
        <v>4045</v>
      </c>
      <c r="D1484" s="154" t="s">
        <v>40</v>
      </c>
      <c r="E1484" s="151" t="s">
        <v>4046</v>
      </c>
      <c r="F1484" s="123">
        <f t="shared" si="1"/>
        <v>1</v>
      </c>
      <c r="G1484" s="121" t="s">
        <v>4047</v>
      </c>
      <c r="H1484" s="12"/>
      <c r="I1484" s="192" t="str">
        <f>IFERROR(__xludf.DUMMYFUNCTION("regexreplace(lower(C1484), ""_"", """")"),"dischargehometherapy")</f>
        <v>dischargehometherapy</v>
      </c>
      <c r="J1484" s="192" t="b">
        <f t="shared" si="61"/>
        <v>1</v>
      </c>
      <c r="K1484" s="192" t="str">
        <f>IFERROR(__xludf.DUMMYFUNCTION("regexreplace(G1484, ""_"", """")"),"dischargehometherapy")</f>
        <v>dischargehometherapy</v>
      </c>
      <c r="L148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""$1$2"")"),"discharge_home_therapy")</f>
        <v>discharge_home_therapy</v>
      </c>
      <c r="M1484" s="193"/>
      <c r="N1484" s="200"/>
      <c r="O1484" s="193"/>
      <c r="P1484" s="200"/>
      <c r="Q1484" s="151" t="s">
        <v>4048</v>
      </c>
      <c r="R1484" s="207"/>
      <c r="S1484" s="207"/>
      <c r="T1484" s="193"/>
      <c r="U1484" s="193"/>
      <c r="V1484" s="193"/>
      <c r="W1484" s="193"/>
      <c r="X1484" s="193"/>
      <c r="Y1484" s="193"/>
      <c r="Z1484" s="193"/>
    </row>
    <row r="1485">
      <c r="A1485" s="329"/>
      <c r="B1485" s="329" t="s">
        <v>4044</v>
      </c>
      <c r="C1485" s="154" t="s">
        <v>4049</v>
      </c>
      <c r="D1485" s="154" t="s">
        <v>40</v>
      </c>
      <c r="E1485" s="151" t="s">
        <v>3492</v>
      </c>
      <c r="F1485" s="123">
        <f t="shared" si="1"/>
        <v>2</v>
      </c>
      <c r="G1485" s="121" t="s">
        <v>4050</v>
      </c>
      <c r="H1485" s="12"/>
      <c r="I1485" s="192" t="str">
        <f>IFERROR(__xludf.DUMMYFUNCTION("regexreplace(lower(C1485), ""_"", """")"),"dischargehometherapyventilator")</f>
        <v>dischargehometherapyventilator</v>
      </c>
      <c r="J1485" s="192" t="b">
        <f t="shared" si="61"/>
        <v>1</v>
      </c>
      <c r="K1485" s="192" t="str">
        <f>IFERROR(__xludf.DUMMYFUNCTION("regexreplace(G1485, ""_"", """")"),"dischargehometherapyventilator")</f>
        <v>dischargehometherapyventilator</v>
      </c>
      <c r="L148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""$1$2"")"),"discharge_home_therapy_ventilator")</f>
        <v>discharge_home_therapy_ventilator</v>
      </c>
      <c r="M1485" s="193"/>
      <c r="N1485" s="200"/>
      <c r="O1485" s="193"/>
      <c r="P1485" s="200" t="s">
        <v>4051</v>
      </c>
      <c r="Q1485" s="151" t="s">
        <v>4052</v>
      </c>
      <c r="R1485" s="207"/>
      <c r="S1485" s="207"/>
      <c r="T1485" s="193"/>
      <c r="U1485" s="193"/>
      <c r="V1485" s="193"/>
      <c r="W1485" s="193"/>
      <c r="X1485" s="193"/>
      <c r="Y1485" s="193"/>
      <c r="Z1485" s="193"/>
    </row>
    <row r="1486">
      <c r="A1486" s="329"/>
      <c r="B1486" s="329" t="s">
        <v>4044</v>
      </c>
      <c r="C1486" s="154" t="s">
        <v>4053</v>
      </c>
      <c r="D1486" s="154" t="s">
        <v>40</v>
      </c>
      <c r="E1486" s="151" t="s">
        <v>3496</v>
      </c>
      <c r="F1486" s="123">
        <f t="shared" si="1"/>
        <v>2</v>
      </c>
      <c r="G1486" s="121" t="s">
        <v>4054</v>
      </c>
      <c r="H1486" s="12"/>
      <c r="I1486" s="192" t="str">
        <f>IFERROR(__xludf.DUMMYFUNCTION("regexreplace(lower(C1486), ""_"", """")"),"dischargehometherapyoxygen")</f>
        <v>dischargehometherapyoxygen</v>
      </c>
      <c r="J1486" s="192" t="b">
        <f t="shared" si="61"/>
        <v>1</v>
      </c>
      <c r="K1486" s="192" t="str">
        <f>IFERROR(__xludf.DUMMYFUNCTION("regexreplace(G1486, ""_"", """")"),"dischargehometherapyoxygen")</f>
        <v>dischargehometherapyoxygen</v>
      </c>
      <c r="L148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""$1$2"")"),"discharge_home_therapy_oxygen")</f>
        <v>discharge_home_therapy_oxygen</v>
      </c>
      <c r="M1486" s="193"/>
      <c r="N1486" s="200"/>
      <c r="O1486" s="193"/>
      <c r="P1486" s="200" t="s">
        <v>4055</v>
      </c>
      <c r="Q1486" s="151" t="s">
        <v>4056</v>
      </c>
      <c r="R1486" s="207"/>
      <c r="S1486" s="207"/>
      <c r="T1486" s="193"/>
      <c r="U1486" s="193"/>
      <c r="V1486" s="193"/>
      <c r="W1486" s="193"/>
      <c r="X1486" s="193"/>
      <c r="Y1486" s="193"/>
      <c r="Z1486" s="193"/>
    </row>
    <row r="1487">
      <c r="A1487" s="329"/>
      <c r="B1487" s="329" t="s">
        <v>4044</v>
      </c>
      <c r="C1487" s="154" t="s">
        <v>4057</v>
      </c>
      <c r="D1487" s="154" t="s">
        <v>40</v>
      </c>
      <c r="E1487" s="151" t="s">
        <v>3500</v>
      </c>
      <c r="F1487" s="123">
        <f t="shared" si="1"/>
        <v>2</v>
      </c>
      <c r="G1487" s="121" t="s">
        <v>4058</v>
      </c>
      <c r="H1487" s="12"/>
      <c r="I1487" s="192" t="str">
        <f>IFERROR(__xludf.DUMMYFUNCTION("regexreplace(lower(C1487), ""_"", """")"),"dischargehometherapygavagetubefeed")</f>
        <v>dischargehometherapygavagetubefeed</v>
      </c>
      <c r="J1487" s="192" t="b">
        <f t="shared" si="61"/>
        <v>1</v>
      </c>
      <c r="K1487" s="192" t="str">
        <f>IFERROR(__xludf.DUMMYFUNCTION("regexreplace(G1487, ""_"", """")"),"dischargehometherapygavagetubefeed")</f>
        <v>dischargehometherapygavagetubefeed</v>
      </c>
      <c r="L148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""$1$2"")"),"discharge_home_therapy_gavage_tube_feed")</f>
        <v>discharge_home_therapy_gavage_tube_feed</v>
      </c>
      <c r="M1487" s="193"/>
      <c r="N1487" s="200"/>
      <c r="O1487" s="193"/>
      <c r="P1487" s="200" t="s">
        <v>4059</v>
      </c>
      <c r="Q1487" s="151" t="s">
        <v>4060</v>
      </c>
      <c r="R1487" s="207"/>
      <c r="S1487" s="207"/>
      <c r="T1487" s="193"/>
      <c r="U1487" s="193"/>
      <c r="V1487" s="193"/>
      <c r="W1487" s="193"/>
      <c r="X1487" s="193"/>
      <c r="Y1487" s="193"/>
      <c r="Z1487" s="193"/>
    </row>
    <row r="1488">
      <c r="A1488" s="329"/>
      <c r="B1488" s="329" t="s">
        <v>4044</v>
      </c>
      <c r="C1488" s="154" t="s">
        <v>4061</v>
      </c>
      <c r="D1488" s="154" t="s">
        <v>40</v>
      </c>
      <c r="E1488" s="151" t="s">
        <v>4062</v>
      </c>
      <c r="F1488" s="123">
        <f t="shared" si="1"/>
        <v>2</v>
      </c>
      <c r="G1488" s="121" t="s">
        <v>4063</v>
      </c>
      <c r="H1488" s="12"/>
      <c r="I1488" s="192" t="str">
        <f>IFERROR(__xludf.DUMMYFUNCTION("regexreplace(lower(C1488), ""_"", """")"),"dischargehometherapygastrostomytubefeed")</f>
        <v>dischargehometherapygastrostomytubefeed</v>
      </c>
      <c r="J1488" s="192" t="b">
        <f t="shared" si="61"/>
        <v>1</v>
      </c>
      <c r="K1488" s="192" t="str">
        <f>IFERROR(__xludf.DUMMYFUNCTION("regexreplace(G1488, ""_"", """")"),"dischargehometherapygastrostomytubefeed")</f>
        <v>dischargehometherapygastrostomytubefeed</v>
      </c>
      <c r="L148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""$1$2"")"),"discharge_home_therapy_gastrostomy_tube_feed")</f>
        <v>discharge_home_therapy_gastrostomy_tube_feed</v>
      </c>
      <c r="M1488" s="193"/>
      <c r="N1488" s="200"/>
      <c r="O1488" s="193"/>
      <c r="P1488" s="200" t="s">
        <v>4064</v>
      </c>
      <c r="Q1488" s="151" t="s">
        <v>4065</v>
      </c>
      <c r="R1488" s="207"/>
      <c r="S1488" s="207"/>
      <c r="T1488" s="193"/>
      <c r="U1488" s="193"/>
      <c r="V1488" s="193"/>
      <c r="W1488" s="193"/>
      <c r="X1488" s="193"/>
      <c r="Y1488" s="193"/>
      <c r="Z1488" s="193"/>
    </row>
    <row r="1489">
      <c r="A1489" s="329"/>
      <c r="B1489" s="329" t="s">
        <v>4044</v>
      </c>
      <c r="C1489" s="154" t="s">
        <v>4066</v>
      </c>
      <c r="D1489" s="154" t="s">
        <v>40</v>
      </c>
      <c r="E1489" s="151" t="s">
        <v>3508</v>
      </c>
      <c r="F1489" s="123">
        <f t="shared" si="1"/>
        <v>2</v>
      </c>
      <c r="G1489" s="121" t="s">
        <v>4067</v>
      </c>
      <c r="H1489" s="12"/>
      <c r="I1489" s="192" t="str">
        <f>IFERROR(__xludf.DUMMYFUNCTION("regexreplace(lower(C1489), ""_"", """")"),"dischargehometherapytemperatureblanket")</f>
        <v>dischargehometherapytemperatureblanket</v>
      </c>
      <c r="J1489" s="192" t="b">
        <f t="shared" si="61"/>
        <v>1</v>
      </c>
      <c r="K1489" s="192" t="str">
        <f>IFERROR(__xludf.DUMMYFUNCTION("regexreplace(G1489, ""_"", """")"),"dischargehometherapytemperatureblanket")</f>
        <v>dischargehometherapytemperatureblanket</v>
      </c>
      <c r="L148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1489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""$1$2"")"),"discharge_home_therapy_temperature_blanket")</f>
        <v>discharge_home_therapy_temperature_blanket</v>
      </c>
      <c r="M1489" s="193"/>
      <c r="N1489" s="200"/>
      <c r="O1489" s="193"/>
      <c r="P1489" s="200" t="s">
        <v>4068</v>
      </c>
      <c r="Q1489" s="151" t="s">
        <v>4069</v>
      </c>
      <c r="R1489" s="207"/>
      <c r="S1489" s="207"/>
      <c r="T1489" s="193"/>
      <c r="U1489" s="193"/>
      <c r="V1489" s="193"/>
      <c r="W1489" s="193"/>
      <c r="X1489" s="193"/>
      <c r="Y1489" s="193"/>
      <c r="Z1489" s="193"/>
    </row>
    <row r="1490">
      <c r="A1490" s="329"/>
      <c r="B1490" s="329" t="s">
        <v>4044</v>
      </c>
      <c r="C1490" s="154" t="s">
        <v>4070</v>
      </c>
      <c r="D1490" s="154" t="s">
        <v>40</v>
      </c>
      <c r="E1490" s="151" t="s">
        <v>3512</v>
      </c>
      <c r="F1490" s="123">
        <f t="shared" si="1"/>
        <v>2</v>
      </c>
      <c r="G1490" s="121" t="s">
        <v>4071</v>
      </c>
      <c r="H1490" s="12"/>
      <c r="I1490" s="192" t="str">
        <f>IFERROR(__xludf.DUMMYFUNCTION("regexreplace(lower(C1490), ""_"", """")"),"dischargehometherapyanticonvulsantmedication")</f>
        <v>dischargehometherapyanticonvulsantmedication</v>
      </c>
      <c r="J1490" s="192" t="b">
        <f t="shared" si="61"/>
        <v>1</v>
      </c>
      <c r="K1490" s="192" t="str">
        <f>IFERROR(__xludf.DUMMYFUNCTION("regexreplace(G1490, ""_"", """")"),"dischargehometherapyanticonvulsantmedication")</f>
        <v>dischargehometherapyanticonvulsantmedication</v>
      </c>
      <c r="L149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""$1$2"")"),"discharge_home_therapy_anticonvulsant_medication")</f>
        <v>discharge_home_therapy_anticonvulsant_medication</v>
      </c>
      <c r="M1490" s="193"/>
      <c r="N1490" s="200"/>
      <c r="O1490" s="193"/>
      <c r="P1490" s="200" t="s">
        <v>4072</v>
      </c>
      <c r="Q1490" s="151" t="s">
        <v>4073</v>
      </c>
      <c r="R1490" s="207"/>
      <c r="S1490" s="207"/>
      <c r="T1490" s="193"/>
      <c r="U1490" s="193"/>
      <c r="V1490" s="193"/>
      <c r="W1490" s="193"/>
      <c r="X1490" s="193"/>
      <c r="Y1490" s="193"/>
      <c r="Z1490" s="193"/>
    </row>
    <row r="1491">
      <c r="A1491" s="329"/>
      <c r="B1491" s="329" t="s">
        <v>4044</v>
      </c>
      <c r="C1491" s="154" t="s">
        <v>4074</v>
      </c>
      <c r="D1491" s="154" t="s">
        <v>40</v>
      </c>
      <c r="E1491" s="151" t="s">
        <v>4075</v>
      </c>
      <c r="F1491" s="123">
        <f t="shared" si="1"/>
        <v>2</v>
      </c>
      <c r="G1491" s="121" t="s">
        <v>4076</v>
      </c>
      <c r="H1491" s="12"/>
      <c r="I1491" s="192" t="str">
        <f>IFERROR(__xludf.DUMMYFUNCTION("regexreplace(lower(C1491), ""_"", """")"),"dischargehometherapyother")</f>
        <v>dischargehometherapyother</v>
      </c>
      <c r="J1491" s="192" t="b">
        <f t="shared" si="61"/>
        <v>1</v>
      </c>
      <c r="K1491" s="192" t="str">
        <f>IFERROR(__xludf.DUMMYFUNCTION("regexreplace(G1491, ""_"", """")"),"dischargehometherapyother")</f>
        <v>dischargehometherapyother</v>
      </c>
      <c r="L149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""$1$2"")"),"discharge_home_therapy_other")</f>
        <v>discharge_home_therapy_other</v>
      </c>
      <c r="M1491" s="193"/>
      <c r="N1491" s="200"/>
      <c r="O1491" s="193"/>
      <c r="P1491" s="200" t="s">
        <v>4077</v>
      </c>
      <c r="Q1491" s="151" t="s">
        <v>4078</v>
      </c>
      <c r="R1491" s="207"/>
      <c r="S1491" s="207"/>
      <c r="T1491" s="193"/>
      <c r="U1491" s="193"/>
      <c r="V1491" s="193"/>
      <c r="W1491" s="193"/>
      <c r="X1491" s="193"/>
      <c r="Y1491" s="193"/>
      <c r="Z1491" s="193"/>
    </row>
    <row r="1492">
      <c r="A1492" s="329"/>
      <c r="B1492" s="329" t="s">
        <v>4044</v>
      </c>
      <c r="C1492" s="154" t="s">
        <v>4079</v>
      </c>
      <c r="D1492" s="154" t="s">
        <v>16</v>
      </c>
      <c r="E1492" s="151" t="s">
        <v>3128</v>
      </c>
      <c r="F1492" s="123">
        <f t="shared" si="1"/>
        <v>2</v>
      </c>
      <c r="G1492" s="121" t="s">
        <v>4080</v>
      </c>
      <c r="H1492" s="12"/>
      <c r="I1492" s="192" t="str">
        <f>IFERROR(__xludf.DUMMYFUNCTION("regexreplace(lower(C1492), ""_"", """")"),"dischargehometherapyothertext")</f>
        <v>dischargehometherapyothertext</v>
      </c>
      <c r="J1492" s="192" t="b">
        <f t="shared" si="61"/>
        <v>1</v>
      </c>
      <c r="K1492" s="192" t="str">
        <f>IFERROR(__xludf.DUMMYFUNCTION("regexreplace(G1492, ""_"", """")"),"dischargehometherapyothertext")</f>
        <v>dischargehometherapyothertext</v>
      </c>
      <c r="L149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""$1$2"")"),"discharge_home_therapy_other_text")</f>
        <v>discharge_home_therapy_other_text</v>
      </c>
      <c r="M1492" s="193"/>
      <c r="N1492" s="200"/>
      <c r="O1492" s="193"/>
      <c r="P1492" s="200" t="s">
        <v>4081</v>
      </c>
      <c r="Q1492" s="151" t="s">
        <v>4082</v>
      </c>
      <c r="R1492" s="207"/>
      <c r="S1492" s="207"/>
      <c r="T1492" s="193"/>
      <c r="U1492" s="193"/>
      <c r="V1492" s="193"/>
      <c r="W1492" s="193"/>
      <c r="X1492" s="193"/>
      <c r="Y1492" s="193"/>
      <c r="Z1492" s="193"/>
    </row>
    <row r="1493">
      <c r="A1493" s="117"/>
      <c r="B1493" s="117"/>
      <c r="C1493" s="118"/>
      <c r="D1493" s="118"/>
      <c r="F1493" s="123">
        <f t="shared" si="1"/>
        <v>0</v>
      </c>
      <c r="G1493" s="118"/>
      <c r="H1493" s="118"/>
      <c r="I1493" s="341"/>
      <c r="J1493" s="341"/>
      <c r="K1493" s="341"/>
      <c r="L1493" s="118"/>
      <c r="N1493" s="193"/>
      <c r="P1493" s="193"/>
      <c r="Q1493" s="193"/>
      <c r="R1493" s="193"/>
      <c r="S1493" s="193"/>
    </row>
    <row r="1494">
      <c r="A1494" s="329" t="s">
        <v>8390</v>
      </c>
      <c r="B1494" s="329" t="s">
        <v>4083</v>
      </c>
      <c r="C1494" s="154" t="s">
        <v>4084</v>
      </c>
      <c r="D1494" s="154" t="s">
        <v>40</v>
      </c>
      <c r="E1494" s="151" t="s">
        <v>4085</v>
      </c>
      <c r="F1494" s="123">
        <f t="shared" si="1"/>
        <v>2</v>
      </c>
      <c r="G1494" s="121" t="s">
        <v>4086</v>
      </c>
      <c r="H1494" s="12"/>
      <c r="I1494" s="192" t="str">
        <f>IFERROR(__xludf.DUMMYFUNCTION("regexreplace(lower(C1494), ""_"", """")"),"wdrawsupport")</f>
        <v>wdrawsupport</v>
      </c>
      <c r="J1494" s="192" t="b">
        <f t="shared" ref="J1494:J1518" si="62">exact(I1494, K1494)</f>
        <v>1</v>
      </c>
      <c r="K1494" s="192" t="str">
        <f>IFERROR(__xludf.DUMMYFUNCTION("regexreplace(G1494, ""_"", """")"),"wdrawsupport")</f>
        <v>wdrawsupport</v>
      </c>
      <c r="L149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""$1$2"")"),"wdraw_support")</f>
        <v>wdraw_support</v>
      </c>
      <c r="M1494" s="193"/>
      <c r="N1494" s="151"/>
      <c r="O1494" s="193"/>
      <c r="P1494" s="151" t="s">
        <v>4087</v>
      </c>
      <c r="Q1494" s="151" t="s">
        <v>4088</v>
      </c>
      <c r="R1494" s="207"/>
      <c r="S1494" s="207"/>
      <c r="T1494" s="193"/>
      <c r="U1494" s="193"/>
      <c r="V1494" s="193"/>
      <c r="W1494" s="193"/>
      <c r="X1494" s="193"/>
      <c r="Y1494" s="193"/>
      <c r="Z1494" s="193"/>
    </row>
    <row r="1495">
      <c r="A1495" s="329"/>
      <c r="B1495" s="329" t="s">
        <v>4083</v>
      </c>
      <c r="C1495" s="154" t="s">
        <v>4089</v>
      </c>
      <c r="D1495" s="154" t="s">
        <v>26</v>
      </c>
      <c r="E1495" s="151" t="s">
        <v>4090</v>
      </c>
      <c r="F1495" s="123">
        <f t="shared" si="1"/>
        <v>2</v>
      </c>
      <c r="G1495" s="121" t="s">
        <v>4091</v>
      </c>
      <c r="H1495" s="12"/>
      <c r="I1495" s="192" t="str">
        <f>IFERROR(__xludf.DUMMYFUNCTION("regexreplace(lower(C1495), ""_"", """")"),"wdrawsupportdate")</f>
        <v>wdrawsupportdate</v>
      </c>
      <c r="J1495" s="192" t="b">
        <f t="shared" si="62"/>
        <v>1</v>
      </c>
      <c r="K1495" s="192" t="str">
        <f>IFERROR(__xludf.DUMMYFUNCTION("regexreplace(G1495, ""_"", """")"),"wdrawsupportdate")</f>
        <v>wdrawsupportdate</v>
      </c>
      <c r="L149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""$1$2"")"),"wdraw_support_date")</f>
        <v>wdraw_support_date</v>
      </c>
      <c r="M1495" s="193"/>
      <c r="N1495" s="151"/>
      <c r="O1495" s="193"/>
      <c r="P1495" s="151" t="s">
        <v>4092</v>
      </c>
      <c r="Q1495" s="151" t="s">
        <v>4093</v>
      </c>
      <c r="R1495" s="207"/>
      <c r="S1495" s="207"/>
      <c r="T1495" s="193"/>
      <c r="U1495" s="193"/>
      <c r="V1495" s="193"/>
      <c r="W1495" s="193"/>
      <c r="X1495" s="193"/>
      <c r="Y1495" s="193"/>
      <c r="Z1495" s="193"/>
    </row>
    <row r="1496">
      <c r="A1496" s="329"/>
      <c r="B1496" s="329" t="s">
        <v>4083</v>
      </c>
      <c r="C1496" s="154" t="s">
        <v>4094</v>
      </c>
      <c r="D1496" s="154" t="s">
        <v>145</v>
      </c>
      <c r="E1496" s="151" t="s">
        <v>4095</v>
      </c>
      <c r="F1496" s="123">
        <f t="shared" si="1"/>
        <v>2</v>
      </c>
      <c r="G1496" s="121" t="s">
        <v>4096</v>
      </c>
      <c r="H1496" s="12"/>
      <c r="I1496" s="192" t="str">
        <f>IFERROR(__xludf.DUMMYFUNCTION("regexreplace(lower(C1496), ""_"", """")"),"wdrawsupporttime")</f>
        <v>wdrawsupporttime</v>
      </c>
      <c r="J1496" s="192" t="b">
        <f t="shared" si="62"/>
        <v>1</v>
      </c>
      <c r="K1496" s="192" t="str">
        <f>IFERROR(__xludf.DUMMYFUNCTION("regexreplace(G1496, ""_"", """")"),"wdrawsupporttime")</f>
        <v>wdrawsupporttime</v>
      </c>
      <c r="L149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""$1$2"")"),"wdraw_support_time")</f>
        <v>wdraw_support_time</v>
      </c>
      <c r="M1496" s="193"/>
      <c r="N1496" s="151"/>
      <c r="O1496" s="193"/>
      <c r="P1496" s="151" t="s">
        <v>4097</v>
      </c>
      <c r="Q1496" s="151" t="s">
        <v>4098</v>
      </c>
      <c r="R1496" s="207"/>
      <c r="S1496" s="207"/>
      <c r="T1496" s="193"/>
      <c r="U1496" s="193"/>
      <c r="V1496" s="193"/>
      <c r="W1496" s="193"/>
      <c r="X1496" s="193"/>
      <c r="Y1496" s="193"/>
      <c r="Z1496" s="193"/>
    </row>
    <row r="1497">
      <c r="A1497" s="329"/>
      <c r="B1497" s="329" t="s">
        <v>4083</v>
      </c>
      <c r="C1497" s="154" t="s">
        <v>4099</v>
      </c>
      <c r="D1497" s="154" t="s">
        <v>40</v>
      </c>
      <c r="E1497" s="151" t="s">
        <v>4100</v>
      </c>
      <c r="F1497" s="123">
        <f t="shared" si="1"/>
        <v>2</v>
      </c>
      <c r="G1497" s="121" t="s">
        <v>4101</v>
      </c>
      <c r="H1497" s="12"/>
      <c r="I1497" s="192" t="str">
        <f>IFERROR(__xludf.DUMMYFUNCTION("regexreplace(lower(C1497), ""_"", """")"),"wdrawsupportdiscussedwithfamily")</f>
        <v>wdrawsupportdiscussedwithfamily</v>
      </c>
      <c r="J1497" s="192" t="b">
        <f t="shared" si="62"/>
        <v>1</v>
      </c>
      <c r="K1497" s="192" t="str">
        <f>IFERROR(__xludf.DUMMYFUNCTION("regexreplace(G1497, ""_"", """")"),"wdrawsupportdiscussedwithfamily")</f>
        <v>wdrawsupportdiscussedwithfamily</v>
      </c>
      <c r="L149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""$1$2"")"),"wdraw_support_discussed_with_family")</f>
        <v>wdraw_support_discussed_with_family</v>
      </c>
      <c r="M1497" s="193"/>
      <c r="N1497" s="151"/>
      <c r="O1497" s="193"/>
      <c r="P1497" s="151" t="s">
        <v>4102</v>
      </c>
      <c r="Q1497" s="151" t="s">
        <v>4103</v>
      </c>
      <c r="R1497" s="207"/>
      <c r="S1497" s="207"/>
      <c r="T1497" s="193"/>
      <c r="U1497" s="193"/>
      <c r="V1497" s="193"/>
      <c r="W1497" s="193"/>
      <c r="X1497" s="193"/>
      <c r="Y1497" s="193"/>
      <c r="Z1497" s="193"/>
    </row>
    <row r="1498">
      <c r="A1498" s="329"/>
      <c r="B1498" s="329" t="s">
        <v>4083</v>
      </c>
      <c r="C1498" s="154" t="s">
        <v>4104</v>
      </c>
      <c r="D1498" s="154" t="s">
        <v>40</v>
      </c>
      <c r="E1498" s="151" t="s">
        <v>4105</v>
      </c>
      <c r="F1498" s="123">
        <f t="shared" si="1"/>
        <v>2</v>
      </c>
      <c r="G1498" s="121" t="s">
        <v>4106</v>
      </c>
      <c r="H1498" s="12"/>
      <c r="I1498" s="192" t="str">
        <f>IFERROR(__xludf.DUMMYFUNCTION("regexreplace(lower(C1498), ""_"", """")"),"wdrawsupportrecommendsolelybyclinicalteam")</f>
        <v>wdrawsupportrecommendsolelybyclinicalteam</v>
      </c>
      <c r="J1498" s="192" t="b">
        <f t="shared" si="62"/>
        <v>1</v>
      </c>
      <c r="K1498" s="192" t="str">
        <f>IFERROR(__xludf.DUMMYFUNCTION("regexreplace(G1498, ""_"", """")"),"wdrawsupportrecommendsolelybyclinicalteam")</f>
        <v>wdrawsupportrecommendsolelybyclinicalteam</v>
      </c>
      <c r="L149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""$1$2"")"),"wdraw_support_recommend_solely_by_clinical_team")</f>
        <v>wdraw_support_recommend_solely_by_clinical_team</v>
      </c>
      <c r="M1498" s="193"/>
      <c r="N1498" s="151"/>
      <c r="O1498" s="193"/>
      <c r="P1498" s="151" t="s">
        <v>4107</v>
      </c>
      <c r="Q1498" s="151" t="s">
        <v>4108</v>
      </c>
      <c r="R1498" s="207"/>
      <c r="S1498" s="207"/>
      <c r="T1498" s="193"/>
      <c r="U1498" s="193"/>
      <c r="V1498" s="193"/>
      <c r="W1498" s="193"/>
      <c r="X1498" s="193"/>
      <c r="Y1498" s="193"/>
      <c r="Z1498" s="193"/>
    </row>
    <row r="1499">
      <c r="A1499" s="329"/>
      <c r="B1499" s="329" t="s">
        <v>4083</v>
      </c>
      <c r="C1499" s="154" t="s">
        <v>4109</v>
      </c>
      <c r="D1499" s="154" t="s">
        <v>40</v>
      </c>
      <c r="E1499" s="151" t="s">
        <v>4110</v>
      </c>
      <c r="F1499" s="123">
        <f t="shared" si="1"/>
        <v>2</v>
      </c>
      <c r="G1499" s="121" t="s">
        <v>4111</v>
      </c>
      <c r="H1499" s="12"/>
      <c r="I1499" s="192" t="str">
        <f>IFERROR(__xludf.DUMMYFUNCTION("regexreplace(lower(C1499), ""_"", """")"),"wdrawsupportneurologicalexam")</f>
        <v>wdrawsupportneurologicalexam</v>
      </c>
      <c r="J1499" s="192" t="b">
        <f t="shared" si="62"/>
        <v>1</v>
      </c>
      <c r="K1499" s="192" t="str">
        <f>IFERROR(__xludf.DUMMYFUNCTION("regexreplace(G1499, ""_"", """")"),"wdrawsupportneurologicalexam")</f>
        <v>wdrawsupportneurologicalexam</v>
      </c>
      <c r="L14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1499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""$1$2"")"),"wdraw_support_neurological_exam")</f>
        <v>wdraw_support_neurological_exam</v>
      </c>
      <c r="M1499" s="193"/>
      <c r="N1499" s="151"/>
      <c r="O1499" s="193"/>
      <c r="P1499" s="151" t="s">
        <v>4112</v>
      </c>
      <c r="Q1499" s="151" t="s">
        <v>4113</v>
      </c>
      <c r="R1499" s="207"/>
      <c r="S1499" s="207"/>
      <c r="T1499" s="193"/>
      <c r="U1499" s="193"/>
      <c r="V1499" s="193"/>
      <c r="W1499" s="193"/>
      <c r="X1499" s="193"/>
      <c r="Y1499" s="193"/>
      <c r="Z1499" s="193"/>
    </row>
    <row r="1500">
      <c r="A1500" s="329"/>
      <c r="B1500" s="329" t="s">
        <v>4083</v>
      </c>
      <c r="C1500" s="154" t="s">
        <v>4114</v>
      </c>
      <c r="D1500" s="154" t="s">
        <v>40</v>
      </c>
      <c r="E1500" s="151" t="s">
        <v>4115</v>
      </c>
      <c r="F1500" s="123">
        <f t="shared" si="1"/>
        <v>2</v>
      </c>
      <c r="G1500" s="121" t="s">
        <v>4116</v>
      </c>
      <c r="H1500" s="12"/>
      <c r="I1500" s="192" t="str">
        <f>IFERROR(__xludf.DUMMYFUNCTION("regexreplace(lower(C1500), ""_"", """")"),"wdrawsupportimagingstudy")</f>
        <v>wdrawsupportimagingstudy</v>
      </c>
      <c r="J1500" s="192" t="b">
        <f t="shared" si="62"/>
        <v>1</v>
      </c>
      <c r="K1500" s="192" t="str">
        <f>IFERROR(__xludf.DUMMYFUNCTION("regexreplace(G1500, ""_"", """")"),"wdrawsupportimagingstudy")</f>
        <v>wdrawsupportimagingstudy</v>
      </c>
      <c r="L15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""$1$2"")"),"wdraw_support_imaging_study")</f>
        <v>wdraw_support_imaging_study</v>
      </c>
      <c r="M1500" s="193"/>
      <c r="N1500" s="151"/>
      <c r="O1500" s="193"/>
      <c r="P1500" s="151" t="s">
        <v>4117</v>
      </c>
      <c r="Q1500" s="151" t="s">
        <v>4118</v>
      </c>
      <c r="R1500" s="207"/>
      <c r="S1500" s="207"/>
      <c r="T1500" s="193"/>
      <c r="U1500" s="193"/>
      <c r="V1500" s="193"/>
      <c r="W1500" s="193"/>
      <c r="X1500" s="193"/>
      <c r="Y1500" s="193"/>
      <c r="Z1500" s="193"/>
    </row>
    <row r="1501">
      <c r="A1501" s="329"/>
      <c r="B1501" s="329" t="s">
        <v>4083</v>
      </c>
      <c r="C1501" s="154" t="s">
        <v>4119</v>
      </c>
      <c r="D1501" s="154" t="s">
        <v>40</v>
      </c>
      <c r="E1501" s="151" t="s">
        <v>4120</v>
      </c>
      <c r="F1501" s="123">
        <f t="shared" si="1"/>
        <v>2</v>
      </c>
      <c r="G1501" s="121" t="s">
        <v>4121</v>
      </c>
      <c r="H1501" s="12"/>
      <c r="I1501" s="192" t="str">
        <f>IFERROR(__xludf.DUMMYFUNCTION("regexreplace(lower(C1501), ""_"", """")"),"wdrawsupporteegfinding")</f>
        <v>wdrawsupporteegfinding</v>
      </c>
      <c r="J1501" s="192" t="b">
        <f t="shared" si="62"/>
        <v>1</v>
      </c>
      <c r="K1501" s="192" t="str">
        <f>IFERROR(__xludf.DUMMYFUNCTION("regexreplace(G1501, ""_"", """")"),"wdrawsupporteegfinding")</f>
        <v>wdrawsupporteegfinding</v>
      </c>
      <c r="L15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""$1$2"")"),"wdraw_support_eeg_finding")</f>
        <v>wdraw_support_eeg_finding</v>
      </c>
      <c r="M1501" s="193"/>
      <c r="N1501" s="151"/>
      <c r="O1501" s="193"/>
      <c r="P1501" s="151" t="s">
        <v>4122</v>
      </c>
      <c r="Q1501" s="151" t="s">
        <v>4123</v>
      </c>
      <c r="R1501" s="207"/>
      <c r="S1501" s="207"/>
      <c r="T1501" s="193"/>
      <c r="U1501" s="193"/>
      <c r="V1501" s="193"/>
      <c r="W1501" s="193"/>
      <c r="X1501" s="193"/>
      <c r="Y1501" s="193"/>
      <c r="Z1501" s="193"/>
    </row>
    <row r="1502">
      <c r="A1502" s="329"/>
      <c r="B1502" s="329" t="s">
        <v>4083</v>
      </c>
      <c r="C1502" s="154" t="s">
        <v>4124</v>
      </c>
      <c r="D1502" s="154" t="s">
        <v>40</v>
      </c>
      <c r="E1502" s="151" t="s">
        <v>4125</v>
      </c>
      <c r="F1502" s="123">
        <f t="shared" si="1"/>
        <v>2</v>
      </c>
      <c r="G1502" s="121" t="s">
        <v>4126</v>
      </c>
      <c r="H1502" s="12"/>
      <c r="I1502" s="192" t="str">
        <f>IFERROR(__xludf.DUMMYFUNCTION("regexreplace(lower(C1502), ""_"", """")"),"wdrawsupportmultisystemorganfailureotherthancns")</f>
        <v>wdrawsupportmultisystemorganfailureotherthancns</v>
      </c>
      <c r="J1502" s="192" t="b">
        <f t="shared" si="62"/>
        <v>1</v>
      </c>
      <c r="K1502" s="192" t="str">
        <f>IFERROR(__xludf.DUMMYFUNCTION("regexreplace(G1502, ""_"", """")"),"wdrawsupportmultisystemorganfailureotherthancns")</f>
        <v>wdrawsupportmultisystemorganfailureotherthancns</v>
      </c>
      <c r="L15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""$1$2"")"),"wdraw_support_multisystem_organ_failure_other_than_cns")</f>
        <v>wdraw_support_multisystem_organ_failure_other_than_cns</v>
      </c>
      <c r="M1502" s="193"/>
      <c r="N1502" s="151"/>
      <c r="O1502" s="193"/>
      <c r="P1502" s="151" t="s">
        <v>4127</v>
      </c>
      <c r="Q1502" s="151" t="s">
        <v>4128</v>
      </c>
      <c r="R1502" s="207"/>
      <c r="S1502" s="207"/>
      <c r="T1502" s="193"/>
      <c r="U1502" s="193"/>
      <c r="V1502" s="193"/>
      <c r="W1502" s="193"/>
      <c r="X1502" s="193"/>
      <c r="Y1502" s="193"/>
      <c r="Z1502" s="193"/>
    </row>
    <row r="1503">
      <c r="A1503" s="329"/>
      <c r="B1503" s="329" t="s">
        <v>4083</v>
      </c>
      <c r="C1503" s="154" t="s">
        <v>4129</v>
      </c>
      <c r="D1503" s="154" t="s">
        <v>40</v>
      </c>
      <c r="E1503" s="151" t="s">
        <v>4130</v>
      </c>
      <c r="F1503" s="123">
        <f t="shared" si="1"/>
        <v>2</v>
      </c>
      <c r="G1503" s="121" t="s">
        <v>4131</v>
      </c>
      <c r="H1503" s="12"/>
      <c r="I1503" s="192" t="str">
        <f>IFERROR(__xludf.DUMMYFUNCTION("regexreplace(lower(C1503), ""_"", """")"),"wdrawsupportbrainbloodflowscan")</f>
        <v>wdrawsupportbrainbloodflowscan</v>
      </c>
      <c r="J1503" s="192" t="b">
        <f t="shared" si="62"/>
        <v>1</v>
      </c>
      <c r="K1503" s="192" t="str">
        <f>IFERROR(__xludf.DUMMYFUNCTION("regexreplace(G1503, ""_"", """")"),"wdrawsupportbrainbloodflowscan")</f>
        <v>wdrawsupportbrainbloodflowscan</v>
      </c>
      <c r="L15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""$1$2"")"),"wdraw_support_brain_blood_flow_scan")</f>
        <v>wdraw_support_brain_blood_flow_scan</v>
      </c>
      <c r="M1503" s="193"/>
      <c r="N1503" s="151"/>
      <c r="O1503" s="193"/>
      <c r="P1503" s="151" t="s">
        <v>4132</v>
      </c>
      <c r="Q1503" s="151" t="s">
        <v>4133</v>
      </c>
      <c r="R1503" s="207"/>
      <c r="S1503" s="207"/>
      <c r="T1503" s="193"/>
      <c r="U1503" s="193"/>
      <c r="V1503" s="193"/>
      <c r="W1503" s="193"/>
      <c r="X1503" s="193"/>
      <c r="Y1503" s="193"/>
      <c r="Z1503" s="193"/>
    </row>
    <row r="1504">
      <c r="A1504" s="329"/>
      <c r="B1504" s="329" t="s">
        <v>4083</v>
      </c>
      <c r="C1504" s="154" t="s">
        <v>4134</v>
      </c>
      <c r="D1504" s="154" t="s">
        <v>40</v>
      </c>
      <c r="E1504" s="151" t="s">
        <v>4135</v>
      </c>
      <c r="F1504" s="123">
        <f t="shared" si="1"/>
        <v>2</v>
      </c>
      <c r="G1504" s="121" t="s">
        <v>4136</v>
      </c>
      <c r="H1504" s="12"/>
      <c r="I1504" s="192" t="str">
        <f>IFERROR(__xludf.DUMMYFUNCTION("regexreplace(lower(C1504), ""_"", """")"),"wdrawsupportparentwish")</f>
        <v>wdrawsupportparentwish</v>
      </c>
      <c r="J1504" s="192" t="b">
        <f t="shared" si="62"/>
        <v>1</v>
      </c>
      <c r="K1504" s="192" t="str">
        <f>IFERROR(__xludf.DUMMYFUNCTION("regexreplace(G1504, ""_"", """")"),"wdrawsupportparentwish")</f>
        <v>wdrawsupportparentwish</v>
      </c>
      <c r="L15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""$1$2"")"),"wdraw_support_parent_wish")</f>
        <v>wdraw_support_parent_wish</v>
      </c>
      <c r="M1504" s="193"/>
      <c r="N1504" s="151"/>
      <c r="O1504" s="193"/>
      <c r="P1504" s="151" t="s">
        <v>4137</v>
      </c>
      <c r="Q1504" s="151" t="s">
        <v>4138</v>
      </c>
      <c r="R1504" s="207"/>
      <c r="S1504" s="207"/>
      <c r="T1504" s="193"/>
      <c r="U1504" s="193"/>
      <c r="V1504" s="193"/>
      <c r="W1504" s="193"/>
      <c r="X1504" s="193"/>
      <c r="Y1504" s="193"/>
      <c r="Z1504" s="193"/>
    </row>
    <row r="1505">
      <c r="A1505" s="329"/>
      <c r="B1505" s="329" t="s">
        <v>4083</v>
      </c>
      <c r="C1505" s="154" t="s">
        <v>4139</v>
      </c>
      <c r="D1505" s="154" t="s">
        <v>40</v>
      </c>
      <c r="E1505" s="151" t="s">
        <v>4140</v>
      </c>
      <c r="F1505" s="123">
        <f t="shared" si="1"/>
        <v>2</v>
      </c>
      <c r="G1505" s="121" t="s">
        <v>4141</v>
      </c>
      <c r="H1505" s="12"/>
      <c r="I1505" s="192" t="str">
        <f>IFERROR(__xludf.DUMMYFUNCTION("regexreplace(lower(C1505), ""_"", """")"),"wdrawsupportother")</f>
        <v>wdrawsupportother</v>
      </c>
      <c r="J1505" s="192" t="b">
        <f t="shared" si="62"/>
        <v>1</v>
      </c>
      <c r="K1505" s="192" t="str">
        <f>IFERROR(__xludf.DUMMYFUNCTION("regexreplace(G1505, ""_"", """")"),"wdrawsupportother")</f>
        <v>wdrawsupportother</v>
      </c>
      <c r="L15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""$1$2"")"),"wdraw_support_other")</f>
        <v>wdraw_support_other</v>
      </c>
      <c r="M1505" s="193"/>
      <c r="N1505" s="151"/>
      <c r="O1505" s="193"/>
      <c r="P1505" s="151" t="s">
        <v>4142</v>
      </c>
      <c r="Q1505" s="151" t="s">
        <v>4143</v>
      </c>
      <c r="R1505" s="207"/>
      <c r="S1505" s="207"/>
      <c r="T1505" s="193"/>
      <c r="U1505" s="193"/>
      <c r="V1505" s="193"/>
      <c r="W1505" s="193"/>
      <c r="X1505" s="193"/>
      <c r="Y1505" s="193"/>
      <c r="Z1505" s="193"/>
    </row>
    <row r="1506">
      <c r="A1506" s="329"/>
      <c r="B1506" s="329" t="s">
        <v>4083</v>
      </c>
      <c r="C1506" s="154" t="s">
        <v>4144</v>
      </c>
      <c r="D1506" s="154" t="s">
        <v>16</v>
      </c>
      <c r="E1506" s="151" t="s">
        <v>4145</v>
      </c>
      <c r="F1506" s="123">
        <f t="shared" si="1"/>
        <v>2</v>
      </c>
      <c r="G1506" s="121" t="s">
        <v>4146</v>
      </c>
      <c r="H1506" s="12"/>
      <c r="I1506" s="192" t="str">
        <f>IFERROR(__xludf.DUMMYFUNCTION("regexreplace(lower(C1506), ""_"", """")"),"wdrawsupportothertext")</f>
        <v>wdrawsupportothertext</v>
      </c>
      <c r="J1506" s="192" t="b">
        <f t="shared" si="62"/>
        <v>1</v>
      </c>
      <c r="K1506" s="192" t="str">
        <f>IFERROR(__xludf.DUMMYFUNCTION("regexreplace(G1506, ""_"", """")"),"wdrawsupportothertext")</f>
        <v>wdrawsupportothertext</v>
      </c>
      <c r="L15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""$1$2"")"),"wdraw_support_other_text")</f>
        <v>wdraw_support_other_text</v>
      </c>
      <c r="M1506" s="193"/>
      <c r="N1506" s="151"/>
      <c r="O1506" s="193"/>
      <c r="P1506" s="151" t="s">
        <v>4147</v>
      </c>
      <c r="Q1506" s="151" t="s">
        <v>4148</v>
      </c>
      <c r="R1506" s="207"/>
      <c r="S1506" s="207"/>
      <c r="T1506" s="193"/>
      <c r="U1506" s="193"/>
      <c r="V1506" s="193"/>
      <c r="W1506" s="193"/>
      <c r="X1506" s="193"/>
      <c r="Y1506" s="193"/>
      <c r="Z1506" s="193"/>
    </row>
    <row r="1507">
      <c r="A1507" s="33"/>
      <c r="B1507" s="33"/>
      <c r="C1507" s="12"/>
      <c r="D1507" s="12"/>
      <c r="E1507" s="15"/>
      <c r="F1507" s="123">
        <f t="shared" si="1"/>
        <v>0</v>
      </c>
      <c r="G1507" s="12" t="s">
        <v>851</v>
      </c>
      <c r="H1507" s="12"/>
      <c r="I1507" s="12" t="str">
        <f>IFERROR(__xludf.DUMMYFUNCTION("regexreplace(lower(C1507), ""_"", """")"),"")</f>
        <v/>
      </c>
      <c r="J1507" s="12" t="b">
        <f t="shared" si="62"/>
        <v>1</v>
      </c>
      <c r="K1507" s="12" t="str">
        <f>IFERROR(__xludf.DUMMYFUNCTION("regexreplace(G1507, ""_"", """")"),"")</f>
        <v/>
      </c>
      <c r="L1507" s="12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""$1$2"")"),"")</f>
        <v/>
      </c>
      <c r="N1507" s="88"/>
      <c r="P1507" s="88"/>
      <c r="Q1507" s="88"/>
      <c r="R1507" s="88"/>
      <c r="S1507" s="88"/>
    </row>
    <row r="1508">
      <c r="A1508" s="329" t="s">
        <v>8390</v>
      </c>
      <c r="B1508" s="329" t="s">
        <v>4149</v>
      </c>
      <c r="C1508" s="154" t="s">
        <v>4150</v>
      </c>
      <c r="D1508" s="154" t="s">
        <v>40</v>
      </c>
      <c r="E1508" s="151" t="s">
        <v>4151</v>
      </c>
      <c r="F1508" s="123">
        <f t="shared" si="1"/>
        <v>2</v>
      </c>
      <c r="G1508" s="121" t="s">
        <v>4152</v>
      </c>
      <c r="H1508" s="12"/>
      <c r="I1508" s="192" t="str">
        <f>IFERROR(__xludf.DUMMYFUNCTION("regexreplace(lower(C1508), ""_"", """")"),"limitcarediscussedwithfamily")</f>
        <v>limitcarediscussedwithfamily</v>
      </c>
      <c r="J1508" s="192" t="b">
        <f t="shared" si="62"/>
        <v>1</v>
      </c>
      <c r="K1508" s="192" t="str">
        <f>IFERROR(__xludf.DUMMYFUNCTION("regexreplace(G1508, ""_"", """")"),"limitcarediscussedwithfamily")</f>
        <v>limitcarediscussedwithfamily</v>
      </c>
      <c r="L15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""$1$2"")"),"limit_care_discussed_with_family")</f>
        <v>limit_care_discussed_with_family</v>
      </c>
      <c r="M1508" s="193"/>
      <c r="N1508" s="151"/>
      <c r="O1508" s="193"/>
      <c r="P1508" s="151" t="s">
        <v>4153</v>
      </c>
      <c r="Q1508" s="151" t="s">
        <v>4154</v>
      </c>
      <c r="R1508" s="207"/>
      <c r="S1508" s="207"/>
      <c r="T1508" s="193"/>
      <c r="U1508" s="193"/>
      <c r="V1508" s="193"/>
      <c r="W1508" s="193"/>
      <c r="X1508" s="193"/>
      <c r="Y1508" s="193"/>
      <c r="Z1508" s="193"/>
    </row>
    <row r="1509">
      <c r="A1509" s="329"/>
      <c r="B1509" s="329" t="s">
        <v>4149</v>
      </c>
      <c r="C1509" s="154" t="s">
        <v>4155</v>
      </c>
      <c r="D1509" s="154" t="s">
        <v>40</v>
      </c>
      <c r="E1509" s="151" t="s">
        <v>4156</v>
      </c>
      <c r="F1509" s="123">
        <f t="shared" si="1"/>
        <v>2</v>
      </c>
      <c r="G1509" s="121" t="s">
        <v>4157</v>
      </c>
      <c r="H1509" s="12"/>
      <c r="I1509" s="192" t="str">
        <f>IFERROR(__xludf.DUMMYFUNCTION("regexreplace(lower(C1509), ""_"", """")"),"limitcarerecommendsolelybyclinicalteam")</f>
        <v>limitcarerecommendsolelybyclinicalteam</v>
      </c>
      <c r="J1509" s="192" t="b">
        <f t="shared" si="62"/>
        <v>1</v>
      </c>
      <c r="K1509" s="192" t="str">
        <f>IFERROR(__xludf.DUMMYFUNCTION("regexreplace(G1509, ""_"", """")"),"limitcarerecommendsolelybyclinicalteam")</f>
        <v>limitcarerecommendsolelybyclinicalteam</v>
      </c>
      <c r="L15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1509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""$1$2"")"),"limit_care_recommend_solely_by_clinical_team")</f>
        <v>limit_care_recommend_solely_by_clinical_team</v>
      </c>
      <c r="M1509" s="193"/>
      <c r="N1509" s="151"/>
      <c r="O1509" s="193"/>
      <c r="P1509" s="151" t="s">
        <v>4158</v>
      </c>
      <c r="Q1509" s="151" t="s">
        <v>4159</v>
      </c>
      <c r="R1509" s="207"/>
      <c r="S1509" s="207"/>
      <c r="T1509" s="193"/>
      <c r="U1509" s="193"/>
      <c r="V1509" s="193"/>
      <c r="W1509" s="193"/>
      <c r="X1509" s="193"/>
      <c r="Y1509" s="193"/>
      <c r="Z1509" s="193"/>
    </row>
    <row r="1510">
      <c r="A1510" s="329"/>
      <c r="B1510" s="329" t="s">
        <v>4149</v>
      </c>
      <c r="C1510" s="154" t="s">
        <v>4160</v>
      </c>
      <c r="D1510" s="154" t="s">
        <v>40</v>
      </c>
      <c r="E1510" s="151" t="s">
        <v>4161</v>
      </c>
      <c r="F1510" s="123">
        <f t="shared" si="1"/>
        <v>2</v>
      </c>
      <c r="G1510" s="121" t="s">
        <v>4162</v>
      </c>
      <c r="H1510" s="12"/>
      <c r="I1510" s="192" t="str">
        <f>IFERROR(__xludf.DUMMYFUNCTION("regexreplace(lower(C1510), ""_"", """")"),"limitcareagreedbyfamilyandcareteam")</f>
        <v>limitcareagreedbyfamilyandcareteam</v>
      </c>
      <c r="J1510" s="192" t="b">
        <f t="shared" si="62"/>
        <v>1</v>
      </c>
      <c r="K1510" s="192" t="str">
        <f>IFERROR(__xludf.DUMMYFUNCTION("regexreplace(G1510, ""_"", """")"),"limitcareagreedbyfamilyandcareteam")</f>
        <v>limitcareagreedbyfamilyandcareteam</v>
      </c>
      <c r="L15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1510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""$1$2"")"),"limit_care_agreed_by_family_and_care_team")</f>
        <v>limit_care_agreed_by_family_and_care_team</v>
      </c>
      <c r="M1510" s="193"/>
      <c r="N1510" s="151"/>
      <c r="O1510" s="193"/>
      <c r="P1510" s="151" t="s">
        <v>4163</v>
      </c>
      <c r="Q1510" s="151" t="s">
        <v>4164</v>
      </c>
      <c r="R1510" s="207"/>
      <c r="S1510" s="207"/>
      <c r="T1510" s="193"/>
      <c r="U1510" s="193"/>
      <c r="V1510" s="193"/>
      <c r="W1510" s="193"/>
      <c r="X1510" s="193"/>
      <c r="Y1510" s="193"/>
      <c r="Z1510" s="193"/>
    </row>
    <row r="1511">
      <c r="A1511" s="329"/>
      <c r="B1511" s="329" t="s">
        <v>4149</v>
      </c>
      <c r="C1511" s="154" t="s">
        <v>4165</v>
      </c>
      <c r="D1511" s="154" t="s">
        <v>40</v>
      </c>
      <c r="E1511" s="151" t="s">
        <v>4166</v>
      </c>
      <c r="F1511" s="123">
        <f t="shared" si="1"/>
        <v>2</v>
      </c>
      <c r="G1511" s="121" t="s">
        <v>4167</v>
      </c>
      <c r="H1511" s="12"/>
      <c r="I1511" s="192" t="str">
        <f>IFERROR(__xludf.DUMMYFUNCTION("regexreplace(lower(C1511), ""_"", """")"),"limitcarenofurthermechanicalventilationandintubation")</f>
        <v>limitcarenofurthermechanicalventilationandintubation</v>
      </c>
      <c r="J1511" s="192" t="b">
        <f t="shared" si="62"/>
        <v>1</v>
      </c>
      <c r="K1511" s="192" t="str">
        <f>IFERROR(__xludf.DUMMYFUNCTION("regexreplace(G1511, ""_"", """")"),"limitcarenofurthermechanicalventilationandintubation")</f>
        <v>limitcarenofurthermechanicalventilationandintubation</v>
      </c>
      <c r="L15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1511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""$1$2"")"),"limit_care_no_further_mechanical_ventilation_and_intubation")</f>
        <v>limit_care_no_further_mechanical_ventilation_and_intubation</v>
      </c>
      <c r="M1511" s="193"/>
      <c r="N1511" s="151"/>
      <c r="O1511" s="193"/>
      <c r="P1511" s="151" t="s">
        <v>4168</v>
      </c>
      <c r="Q1511" s="151" t="s">
        <v>4169</v>
      </c>
      <c r="R1511" s="207"/>
      <c r="S1511" s="207"/>
      <c r="T1511" s="193"/>
      <c r="U1511" s="193"/>
      <c r="V1511" s="193"/>
      <c r="W1511" s="193"/>
      <c r="X1511" s="193"/>
      <c r="Y1511" s="193"/>
      <c r="Z1511" s="193"/>
    </row>
    <row r="1512">
      <c r="A1512" s="329"/>
      <c r="B1512" s="329" t="s">
        <v>4149</v>
      </c>
      <c r="C1512" s="154" t="s">
        <v>4170</v>
      </c>
      <c r="D1512" s="154" t="s">
        <v>40</v>
      </c>
      <c r="E1512" s="151" t="s">
        <v>4171</v>
      </c>
      <c r="F1512" s="123">
        <f t="shared" si="1"/>
        <v>2</v>
      </c>
      <c r="G1512" s="121" t="s">
        <v>4172</v>
      </c>
      <c r="H1512" s="12"/>
      <c r="I1512" s="192" t="str">
        <f>IFERROR(__xludf.DUMMYFUNCTION("regexreplace(lower(C1512), ""_"", """")"),"limitcarenofurtherventilationwithbagandmask")</f>
        <v>limitcarenofurtherventilationwithbagandmask</v>
      </c>
      <c r="J1512" s="192" t="b">
        <f t="shared" si="62"/>
        <v>1</v>
      </c>
      <c r="K1512" s="192" t="str">
        <f>IFERROR(__xludf.DUMMYFUNCTION("regexreplace(G1512, ""_"", """")"),"limitcarenofurtherventilationwithbagandmask")</f>
        <v>limitcarenofurtherventilationwithbagandmask</v>
      </c>
      <c r="L15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1512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""$1$2"")"),"limit_care_no_further_ventilation_with_bag_and_mask")</f>
        <v>limit_care_no_further_ventilation_with_bag_and_mask</v>
      </c>
      <c r="M1512" s="193"/>
      <c r="N1512" s="151"/>
      <c r="O1512" s="193"/>
      <c r="P1512" s="151" t="s">
        <v>4173</v>
      </c>
      <c r="Q1512" s="151" t="s">
        <v>4174</v>
      </c>
      <c r="R1512" s="207"/>
      <c r="S1512" s="207"/>
      <c r="T1512" s="193"/>
      <c r="U1512" s="193"/>
      <c r="V1512" s="193"/>
      <c r="W1512" s="193"/>
      <c r="X1512" s="193"/>
      <c r="Y1512" s="193"/>
      <c r="Z1512" s="193"/>
    </row>
    <row r="1513">
      <c r="A1513" s="329"/>
      <c r="B1513" s="329" t="s">
        <v>4149</v>
      </c>
      <c r="C1513" s="154" t="s">
        <v>4175</v>
      </c>
      <c r="D1513" s="154" t="s">
        <v>40</v>
      </c>
      <c r="E1513" s="151" t="s">
        <v>4176</v>
      </c>
      <c r="F1513" s="123">
        <f t="shared" si="1"/>
        <v>2</v>
      </c>
      <c r="G1513" s="121" t="s">
        <v>4177</v>
      </c>
      <c r="H1513" s="12"/>
      <c r="I1513" s="192" t="str">
        <f>IFERROR(__xludf.DUMMYFUNCTION("regexreplace(lower(C1513), ""_"", """")"),"limitcarenofurthermedicationstosupportbp")</f>
        <v>limitcarenofurthermedicationstosupportbp</v>
      </c>
      <c r="J1513" s="192" t="b">
        <f t="shared" si="62"/>
        <v>1</v>
      </c>
      <c r="K1513" s="192" t="str">
        <f>IFERROR(__xludf.DUMMYFUNCTION("regexreplace(G1513, ""_"", """")"),"limitcarenofurthermedicationstosupportbp")</f>
        <v>limitcarenofurthermedicationstosupportbp</v>
      </c>
      <c r="L15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1513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""$1$2"")"),"limit_care_no_further_medications_to_support_b_p")</f>
        <v>limit_care_no_further_medications_to_support_b_p</v>
      </c>
      <c r="M1513" s="193"/>
      <c r="N1513" s="151"/>
      <c r="O1513" s="193"/>
      <c r="P1513" s="151" t="s">
        <v>4178</v>
      </c>
      <c r="Q1513" s="151" t="s">
        <v>4179</v>
      </c>
      <c r="R1513" s="207"/>
      <c r="S1513" s="207"/>
      <c r="T1513" s="193"/>
      <c r="U1513" s="193"/>
      <c r="V1513" s="193"/>
      <c r="W1513" s="193"/>
      <c r="X1513" s="193"/>
      <c r="Y1513" s="193"/>
      <c r="Z1513" s="193"/>
    </row>
    <row r="1514">
      <c r="A1514" s="329"/>
      <c r="B1514" s="329" t="s">
        <v>4149</v>
      </c>
      <c r="C1514" s="154" t="s">
        <v>4180</v>
      </c>
      <c r="D1514" s="154" t="s">
        <v>40</v>
      </c>
      <c r="E1514" s="151" t="s">
        <v>4181</v>
      </c>
      <c r="F1514" s="123">
        <f t="shared" si="1"/>
        <v>2</v>
      </c>
      <c r="G1514" s="121" t="s">
        <v>4182</v>
      </c>
      <c r="H1514" s="12"/>
      <c r="I1514" s="192" t="str">
        <f>IFERROR(__xludf.DUMMYFUNCTION("regexreplace(lower(C1514), ""_"", """")"),"limitcarenofurtherchestcompression")</f>
        <v>limitcarenofurtherchestcompression</v>
      </c>
      <c r="J1514" s="192" t="b">
        <f t="shared" si="62"/>
        <v>1</v>
      </c>
      <c r="K1514" s="192" t="str">
        <f>IFERROR(__xludf.DUMMYFUNCTION("regexreplace(G1514, ""_"", """")"),"limitcarenofurtherchestcompression")</f>
        <v>limitcarenofurtherchestcompression</v>
      </c>
      <c r="L15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1514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""$1$2"")"),"limit_care_no_further_chest_compression")</f>
        <v>limit_care_no_further_chest_compression</v>
      </c>
      <c r="M1514" s="193"/>
      <c r="N1514" s="151"/>
      <c r="O1514" s="193"/>
      <c r="P1514" s="151" t="s">
        <v>4183</v>
      </c>
      <c r="Q1514" s="151" t="s">
        <v>4184</v>
      </c>
      <c r="R1514" s="207"/>
      <c r="S1514" s="207"/>
      <c r="T1514" s="193"/>
      <c r="U1514" s="193"/>
      <c r="V1514" s="193"/>
      <c r="W1514" s="193"/>
      <c r="X1514" s="193"/>
      <c r="Y1514" s="193"/>
      <c r="Z1514" s="193"/>
    </row>
    <row r="1515">
      <c r="A1515" s="329"/>
      <c r="B1515" s="329" t="s">
        <v>4149</v>
      </c>
      <c r="C1515" s="154" t="s">
        <v>4185</v>
      </c>
      <c r="D1515" s="154" t="s">
        <v>40</v>
      </c>
      <c r="E1515" s="151" t="s">
        <v>4186</v>
      </c>
      <c r="F1515" s="123">
        <f t="shared" si="1"/>
        <v>2</v>
      </c>
      <c r="G1515" s="121" t="s">
        <v>4187</v>
      </c>
      <c r="H1515" s="12"/>
      <c r="I1515" s="192" t="str">
        <f>IFERROR(__xludf.DUMMYFUNCTION("regexreplace(lower(C1515), ""_"", """")"),"limitcarenofurtheremergencymedication")</f>
        <v>limitcarenofurtheremergencymedication</v>
      </c>
      <c r="J1515" s="192" t="b">
        <f t="shared" si="62"/>
        <v>1</v>
      </c>
      <c r="K1515" s="192" t="str">
        <f>IFERROR(__xludf.DUMMYFUNCTION("regexreplace(G1515, ""_"", """")"),"limitcarenofurtheremergencymedication")</f>
        <v>limitcarenofurtheremergencymedication</v>
      </c>
      <c r="L15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1515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""$1$2"")"),"limit_care_no_further_emergency_medication")</f>
        <v>limit_care_no_further_emergency_medication</v>
      </c>
      <c r="M1515" s="193"/>
      <c r="N1515" s="151"/>
      <c r="O1515" s="193"/>
      <c r="P1515" s="151" t="s">
        <v>4188</v>
      </c>
      <c r="Q1515" s="151" t="s">
        <v>4189</v>
      </c>
      <c r="R1515" s="207"/>
      <c r="S1515" s="207"/>
      <c r="T1515" s="193"/>
      <c r="U1515" s="193"/>
      <c r="V1515" s="193"/>
      <c r="W1515" s="193"/>
      <c r="X1515" s="193"/>
      <c r="Y1515" s="193"/>
      <c r="Z1515" s="193"/>
    </row>
    <row r="1516">
      <c r="A1516" s="329"/>
      <c r="B1516" s="329" t="s">
        <v>4149</v>
      </c>
      <c r="C1516" s="154" t="s">
        <v>4190</v>
      </c>
      <c r="D1516" s="154" t="s">
        <v>40</v>
      </c>
      <c r="E1516" s="151" t="s">
        <v>4191</v>
      </c>
      <c r="F1516" s="123">
        <f t="shared" si="1"/>
        <v>2</v>
      </c>
      <c r="G1516" s="121" t="s">
        <v>4192</v>
      </c>
      <c r="H1516" s="12"/>
      <c r="I1516" s="192" t="str">
        <f>IFERROR(__xludf.DUMMYFUNCTION("regexreplace(lower(C1516), ""_"", """")"),"limitcarednr")</f>
        <v>limitcarednr</v>
      </c>
      <c r="J1516" s="192" t="b">
        <f t="shared" si="62"/>
        <v>1</v>
      </c>
      <c r="K1516" s="192" t="str">
        <f>IFERROR(__xludf.DUMMYFUNCTION("regexreplace(G1516, ""_"", """")"),"limitcarednr")</f>
        <v>limitcarednr</v>
      </c>
      <c r="L15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1516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""$1$2"")"),"limit_care_dnr")</f>
        <v>limit_care_dnr</v>
      </c>
      <c r="M1516" s="193"/>
      <c r="N1516" s="151"/>
      <c r="O1516" s="193"/>
      <c r="P1516" s="151" t="s">
        <v>4193</v>
      </c>
      <c r="Q1516" s="151" t="s">
        <v>4194</v>
      </c>
      <c r="R1516" s="207"/>
      <c r="S1516" s="207"/>
      <c r="T1516" s="193"/>
      <c r="U1516" s="193"/>
      <c r="V1516" s="193"/>
      <c r="W1516" s="193"/>
      <c r="X1516" s="193"/>
      <c r="Y1516" s="193"/>
      <c r="Z1516" s="193"/>
    </row>
    <row r="1517">
      <c r="A1517" s="329"/>
      <c r="B1517" s="329" t="s">
        <v>4149</v>
      </c>
      <c r="C1517" s="154" t="s">
        <v>4195</v>
      </c>
      <c r="D1517" s="154" t="s">
        <v>26</v>
      </c>
      <c r="E1517" s="151" t="s">
        <v>4196</v>
      </c>
      <c r="F1517" s="123">
        <f t="shared" si="1"/>
        <v>2</v>
      </c>
      <c r="G1517" s="121" t="s">
        <v>4197</v>
      </c>
      <c r="H1517" s="12"/>
      <c r="I1517" s="192" t="str">
        <f>IFERROR(__xludf.DUMMYFUNCTION("regexreplace(lower(C1517), ""_"", """")"),"limitcarednrdate")</f>
        <v>limitcarednrdate</v>
      </c>
      <c r="J1517" s="192" t="b">
        <f t="shared" si="62"/>
        <v>1</v>
      </c>
      <c r="K1517" s="192" t="str">
        <f>IFERROR(__xludf.DUMMYFUNCTION("regexreplace(G1517, ""_"", """")"),"limitcarednrdate")</f>
        <v>limitcarednrdate</v>
      </c>
      <c r="L15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1517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""$1$2"")"),"limit_care_dnr_date")</f>
        <v>limit_care_dnr_date</v>
      </c>
      <c r="M1517" s="193"/>
      <c r="N1517" s="151"/>
      <c r="O1517" s="193"/>
      <c r="P1517" s="151" t="s">
        <v>4198</v>
      </c>
      <c r="Q1517" s="151" t="s">
        <v>4199</v>
      </c>
      <c r="R1517" s="207"/>
      <c r="S1517" s="207"/>
      <c r="T1517" s="193"/>
      <c r="U1517" s="193"/>
      <c r="V1517" s="193"/>
      <c r="W1517" s="193"/>
      <c r="X1517" s="193"/>
      <c r="Y1517" s="193"/>
      <c r="Z1517" s="193"/>
    </row>
    <row r="1518">
      <c r="A1518" s="329"/>
      <c r="B1518" s="329" t="s">
        <v>4149</v>
      </c>
      <c r="C1518" s="154" t="s">
        <v>4200</v>
      </c>
      <c r="D1518" s="154" t="s">
        <v>145</v>
      </c>
      <c r="E1518" s="151" t="s">
        <v>4201</v>
      </c>
      <c r="F1518" s="123">
        <f t="shared" si="1"/>
        <v>2</v>
      </c>
      <c r="G1518" s="121" t="s">
        <v>4202</v>
      </c>
      <c r="H1518" s="12"/>
      <c r="I1518" s="192" t="str">
        <f>IFERROR(__xludf.DUMMYFUNCTION("regexreplace(lower(C1518), ""_"", """")"),"limitcarednrtime")</f>
        <v>limitcarednrtime</v>
      </c>
      <c r="J1518" s="192" t="b">
        <f t="shared" si="62"/>
        <v>1</v>
      </c>
      <c r="K1518" s="192" t="str">
        <f>IFERROR(__xludf.DUMMYFUNCTION("regexreplace(G1518, ""_"", """")"),"limitcarednrtime")</f>
        <v>limitcarednrtime</v>
      </c>
      <c r="L15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lower(regexreplace(C1518, ""([A-Z])"", ""_"&amp;"$1"")), ""m_r_i"", ""mri""), ""_i_d$"", ""_id""), ""d_n_r"", ""dnr""), ""a_p_g_a_r"", ""apgar""), ""_p_h"", ""_ph""), ""_p_c_o2"", ""_pco2""), ""_p_o2"", ""_po2""), ""_h_c_o3"", ""_hco3""), ""_a_s_t_s_g_o_t"", ""_ast_sgot""), ""_a_l_t_s_g_p_t"", ""_alt_sg"&amp;"pt""),  ""m_eq_per_l"", ""_meqperl""), ""mg_perd_l"", ""_mgperdl""), ""mm_hg"", ""_mmhg""), ""_u_per_l"", ""_uperl""), ""^_"", """"), ""e_k_g"", ""ekg""), ""s_a_e"", ""sae""), ""r_t_i"", ""rti""), ""f_l_a_i_r"", ""flair""), ""g_r_e_s_w_i"", ""greswi""), "&amp;"""s_p_g_r"", ""spgr""), ""d_w_i"", ""dwi""), ""a_d_c"", ""adc""), ""m_r_s"", ""mrs""), ""_c_t"", ""_ct""), ""p_l_i_c"", ""plic""), ""a_l_i_c"", ""alic""), ""n_r_n"", ""nrn""), ""b_g_t"", ""bgt""), ""e_c_m_o"", ""ecmo""), ""c_n_s"", ""cns""), ""c_p_a_p"", "&amp;"""cpap""), ""fi_o2"", ""fio2""), ""e_e_g"", ""eeg""), ""h_i_e"", ""hie""), ""(\d)_([a-z])"", ""$1$2"")"),"limit_care_dnr_time")</f>
        <v>limit_care_dnr_time</v>
      </c>
      <c r="M1518" s="193"/>
      <c r="N1518" s="151"/>
      <c r="O1518" s="193"/>
      <c r="P1518" s="151" t="s">
        <v>4203</v>
      </c>
      <c r="Q1518" s="151" t="s">
        <v>4204</v>
      </c>
      <c r="R1518" s="207"/>
      <c r="S1518" s="207"/>
      <c r="T1518" s="193"/>
      <c r="U1518" s="193"/>
      <c r="V1518" s="193"/>
      <c r="W1518" s="193"/>
      <c r="X1518" s="193"/>
      <c r="Y1518" s="193"/>
      <c r="Z1518" s="193"/>
    </row>
    <row r="1519">
      <c r="A1519" s="117"/>
      <c r="B1519" s="117"/>
      <c r="C1519" s="118"/>
      <c r="D1519" s="118"/>
      <c r="F1519" s="123"/>
      <c r="G1519" s="118"/>
      <c r="H1519" s="118"/>
      <c r="I1519" s="341"/>
      <c r="J1519" s="341"/>
      <c r="K1519" s="341"/>
      <c r="L1519" s="118"/>
      <c r="N1519" s="193"/>
      <c r="P1519" s="193"/>
      <c r="Q1519" s="193"/>
      <c r="R1519" s="193"/>
      <c r="S1519" s="193"/>
    </row>
    <row r="1520">
      <c r="A1520" s="117"/>
      <c r="B1520" s="117"/>
      <c r="C1520" s="12"/>
      <c r="D1520" s="12"/>
      <c r="E1520" s="15" t="s">
        <v>8436</v>
      </c>
      <c r="F1520" s="123"/>
      <c r="G1520" s="12"/>
      <c r="H1520" s="12"/>
      <c r="I1520" s="12" t="str">
        <f>IFERROR(__xludf.DUMMYFUNCTION("regexreplace(lower(C1520), ""_"", """")"),"")</f>
        <v/>
      </c>
      <c r="J1520" s="12"/>
      <c r="K1520" s="12"/>
      <c r="L1520" s="12"/>
      <c r="N1520" s="15"/>
      <c r="P1520" s="15"/>
      <c r="Q1520" s="15"/>
    </row>
    <row r="1521">
      <c r="A1521" s="117"/>
      <c r="B1521" s="117"/>
      <c r="C1521" s="12"/>
      <c r="D1521" s="12"/>
      <c r="E1521" s="15" t="s">
        <v>8437</v>
      </c>
      <c r="F1521" s="123"/>
      <c r="G1521" s="12"/>
      <c r="H1521" s="12"/>
      <c r="I1521" s="12" t="str">
        <f>IFERROR(__xludf.DUMMYFUNCTION("regexreplace(lower(C1521), ""_"", """")"),"")</f>
        <v/>
      </c>
      <c r="J1521" s="12"/>
      <c r="K1521" s="12"/>
      <c r="L1521" s="12"/>
      <c r="N1521" s="15"/>
      <c r="P1521" s="15"/>
      <c r="Q1521" s="15"/>
    </row>
    <row r="1522">
      <c r="A1522" s="117"/>
      <c r="B1522" s="117"/>
      <c r="C1522" s="12"/>
      <c r="D1522" s="12"/>
      <c r="E1522" s="15" t="s">
        <v>8438</v>
      </c>
      <c r="F1522" s="123"/>
      <c r="G1522" s="12"/>
      <c r="H1522" s="12"/>
      <c r="I1522" s="12" t="str">
        <f>IFERROR(__xludf.DUMMYFUNCTION("regexreplace(lower(C1522), ""_"", """")"),"")</f>
        <v/>
      </c>
      <c r="J1522" s="12"/>
      <c r="K1522" s="12"/>
      <c r="L1522" s="12"/>
      <c r="N1522" s="15"/>
      <c r="P1522" s="15"/>
      <c r="Q1522" s="15"/>
    </row>
    <row r="1523">
      <c r="A1523" s="117"/>
      <c r="B1523" s="117"/>
      <c r="C1523" s="118"/>
      <c r="D1523" s="118"/>
      <c r="F1523" s="123"/>
      <c r="G1523" s="118"/>
      <c r="H1523" s="118"/>
      <c r="I1523" s="341"/>
      <c r="J1523" s="341"/>
      <c r="K1523" s="341"/>
      <c r="L1523" s="118"/>
      <c r="N1523" s="193"/>
      <c r="P1523" s="193"/>
      <c r="Q1523" s="193"/>
      <c r="R1523" s="193"/>
      <c r="S1523" s="193"/>
    </row>
    <row r="1524">
      <c r="A1524" s="117"/>
      <c r="B1524" s="117"/>
      <c r="C1524" s="118"/>
      <c r="D1524" s="118"/>
      <c r="F1524" s="123"/>
      <c r="G1524" s="118"/>
      <c r="H1524" s="118"/>
      <c r="I1524" s="341"/>
      <c r="J1524" s="341"/>
      <c r="K1524" s="341"/>
      <c r="L1524" s="118"/>
      <c r="N1524" s="193"/>
      <c r="P1524" s="193"/>
      <c r="Q1524" s="193"/>
      <c r="R1524" s="193"/>
      <c r="S1524" s="193"/>
    </row>
    <row r="1525">
      <c r="A1525" s="117"/>
      <c r="B1525" s="117"/>
      <c r="C1525" s="118"/>
      <c r="D1525" s="118"/>
      <c r="F1525" s="123"/>
      <c r="G1525" s="118"/>
      <c r="H1525" s="118"/>
      <c r="I1525" s="341"/>
      <c r="J1525" s="341"/>
      <c r="K1525" s="341"/>
      <c r="L1525" s="118"/>
      <c r="N1525" s="193"/>
      <c r="P1525" s="193"/>
      <c r="Q1525" s="193"/>
      <c r="R1525" s="193"/>
      <c r="S1525" s="193"/>
    </row>
    <row r="1526">
      <c r="A1526" s="117"/>
      <c r="B1526" s="117"/>
      <c r="C1526" s="118"/>
      <c r="D1526" s="118"/>
      <c r="F1526" s="123"/>
      <c r="G1526" s="118"/>
      <c r="H1526" s="118"/>
      <c r="I1526" s="341"/>
      <c r="J1526" s="341"/>
      <c r="K1526" s="341"/>
      <c r="L1526" s="118"/>
      <c r="N1526" s="193"/>
      <c r="P1526" s="193"/>
      <c r="Q1526" s="193"/>
      <c r="R1526" s="193"/>
      <c r="S1526" s="193"/>
    </row>
    <row r="1527">
      <c r="A1527" s="117"/>
      <c r="B1527" s="117"/>
      <c r="C1527" s="118"/>
      <c r="D1527" s="118"/>
      <c r="F1527" s="123"/>
      <c r="G1527" s="118"/>
      <c r="H1527" s="118"/>
      <c r="I1527" s="341"/>
      <c r="J1527" s="341"/>
      <c r="K1527" s="341"/>
      <c r="L1527" s="118"/>
      <c r="N1527" s="193"/>
      <c r="P1527" s="193"/>
      <c r="Q1527" s="193"/>
      <c r="R1527" s="193"/>
      <c r="S1527" s="193"/>
    </row>
    <row r="1528">
      <c r="A1528" s="117"/>
      <c r="B1528" s="117"/>
      <c r="C1528" s="118"/>
      <c r="D1528" s="118"/>
      <c r="F1528" s="123"/>
      <c r="G1528" s="118"/>
      <c r="H1528" s="118"/>
      <c r="I1528" s="341"/>
      <c r="J1528" s="341"/>
      <c r="K1528" s="341"/>
      <c r="L1528" s="118"/>
      <c r="N1528" s="193"/>
      <c r="P1528" s="193"/>
      <c r="Q1528" s="193"/>
      <c r="R1528" s="193"/>
      <c r="S1528" s="193"/>
    </row>
    <row r="1529">
      <c r="A1529" s="117"/>
      <c r="B1529" s="117"/>
      <c r="C1529" s="118"/>
      <c r="D1529" s="118"/>
      <c r="F1529" s="123"/>
      <c r="G1529" s="118"/>
      <c r="H1529" s="118"/>
      <c r="I1529" s="341"/>
      <c r="J1529" s="341"/>
      <c r="K1529" s="341"/>
      <c r="L1529" s="118"/>
      <c r="N1529" s="193"/>
      <c r="P1529" s="193"/>
      <c r="Q1529" s="193"/>
      <c r="R1529" s="193"/>
      <c r="S1529" s="193"/>
    </row>
    <row r="1530">
      <c r="A1530" s="117"/>
      <c r="B1530" s="117"/>
      <c r="C1530" s="118"/>
      <c r="D1530" s="118"/>
      <c r="F1530" s="123"/>
      <c r="G1530" s="118"/>
      <c r="H1530" s="118"/>
      <c r="I1530" s="341"/>
      <c r="J1530" s="341"/>
      <c r="K1530" s="341"/>
      <c r="L1530" s="118"/>
      <c r="N1530" s="193"/>
      <c r="P1530" s="193"/>
      <c r="Q1530" s="193"/>
      <c r="R1530" s="193"/>
      <c r="S1530" s="193"/>
    </row>
    <row r="1531">
      <c r="A1531" s="117"/>
      <c r="B1531" s="117"/>
      <c r="C1531" s="118"/>
      <c r="D1531" s="118"/>
      <c r="F1531" s="123"/>
      <c r="G1531" s="118"/>
      <c r="H1531" s="118"/>
      <c r="I1531" s="341"/>
      <c r="J1531" s="341"/>
      <c r="K1531" s="341"/>
      <c r="L1531" s="118"/>
      <c r="N1531" s="193"/>
      <c r="P1531" s="193"/>
      <c r="Q1531" s="193"/>
      <c r="R1531" s="193"/>
      <c r="S1531" s="193"/>
    </row>
    <row r="1532">
      <c r="A1532" s="117"/>
      <c r="B1532" s="117"/>
      <c r="C1532" s="118"/>
      <c r="D1532" s="118"/>
      <c r="F1532" s="123"/>
      <c r="G1532" s="118"/>
      <c r="H1532" s="118"/>
      <c r="I1532" s="341"/>
      <c r="J1532" s="341"/>
      <c r="K1532" s="341"/>
      <c r="L1532" s="118"/>
      <c r="N1532" s="193"/>
      <c r="P1532" s="193"/>
      <c r="Q1532" s="193"/>
      <c r="R1532" s="193"/>
      <c r="S1532" s="193"/>
    </row>
    <row r="1533">
      <c r="A1533" s="117"/>
      <c r="B1533" s="117"/>
      <c r="C1533" s="118"/>
      <c r="D1533" s="118"/>
      <c r="F1533" s="123"/>
      <c r="G1533" s="118"/>
      <c r="H1533" s="118"/>
      <c r="I1533" s="341"/>
      <c r="J1533" s="341"/>
      <c r="K1533" s="341"/>
      <c r="L1533" s="118"/>
      <c r="N1533" s="193"/>
      <c r="P1533" s="193"/>
      <c r="Q1533" s="193"/>
      <c r="R1533" s="193"/>
      <c r="S1533" s="193"/>
    </row>
    <row r="1534">
      <c r="A1534" s="117"/>
      <c r="B1534" s="117"/>
      <c r="C1534" s="118"/>
      <c r="D1534" s="118"/>
      <c r="F1534" s="123"/>
      <c r="G1534" s="118"/>
      <c r="H1534" s="118"/>
      <c r="I1534" s="341"/>
      <c r="J1534" s="341"/>
      <c r="K1534" s="341"/>
      <c r="L1534" s="118"/>
      <c r="N1534" s="193"/>
      <c r="P1534" s="193"/>
      <c r="Q1534" s="193"/>
      <c r="R1534" s="193"/>
      <c r="S1534" s="193"/>
    </row>
    <row r="1535">
      <c r="A1535" s="117"/>
      <c r="B1535" s="117"/>
      <c r="C1535" s="118"/>
      <c r="D1535" s="118"/>
      <c r="F1535" s="123"/>
      <c r="G1535" s="118"/>
      <c r="H1535" s="118"/>
      <c r="I1535" s="341"/>
      <c r="J1535" s="341"/>
      <c r="K1535" s="341"/>
      <c r="L1535" s="118"/>
      <c r="N1535" s="193"/>
      <c r="P1535" s="193"/>
      <c r="Q1535" s="193"/>
      <c r="R1535" s="193"/>
      <c r="S1535" s="193"/>
    </row>
    <row r="1536">
      <c r="A1536" s="117"/>
      <c r="B1536" s="117"/>
      <c r="C1536" s="118"/>
      <c r="D1536" s="118"/>
      <c r="F1536" s="123"/>
      <c r="G1536" s="118"/>
      <c r="H1536" s="118"/>
      <c r="I1536" s="341"/>
      <c r="J1536" s="341"/>
      <c r="K1536" s="341"/>
      <c r="L1536" s="118"/>
      <c r="N1536" s="193"/>
      <c r="P1536" s="193"/>
      <c r="Q1536" s="193"/>
      <c r="R1536" s="193"/>
      <c r="S1536" s="193"/>
    </row>
    <row r="1537">
      <c r="A1537" s="117"/>
      <c r="B1537" s="117"/>
      <c r="C1537" s="118"/>
      <c r="D1537" s="118"/>
      <c r="F1537" s="123"/>
      <c r="G1537" s="118"/>
      <c r="H1537" s="118"/>
      <c r="I1537" s="341"/>
      <c r="J1537" s="341"/>
      <c r="K1537" s="341"/>
      <c r="L1537" s="118"/>
      <c r="N1537" s="193"/>
      <c r="P1537" s="193"/>
      <c r="Q1537" s="193"/>
      <c r="R1537" s="193"/>
      <c r="S1537" s="193"/>
    </row>
    <row r="1538">
      <c r="A1538" s="117"/>
      <c r="B1538" s="117"/>
      <c r="C1538" s="118"/>
      <c r="D1538" s="118"/>
      <c r="F1538" s="123"/>
      <c r="G1538" s="118"/>
      <c r="H1538" s="118"/>
      <c r="I1538" s="341"/>
      <c r="J1538" s="341"/>
      <c r="K1538" s="341"/>
      <c r="L1538" s="118"/>
      <c r="N1538" s="193"/>
      <c r="P1538" s="193"/>
      <c r="Q1538" s="193"/>
      <c r="R1538" s="193"/>
      <c r="S1538" s="193"/>
    </row>
    <row r="1539">
      <c r="A1539" s="117"/>
      <c r="B1539" s="117"/>
      <c r="C1539" s="118"/>
      <c r="D1539" s="118"/>
      <c r="F1539" s="123"/>
      <c r="G1539" s="118"/>
      <c r="H1539" s="118"/>
      <c r="I1539" s="341"/>
      <c r="J1539" s="341"/>
      <c r="K1539" s="341"/>
      <c r="L1539" s="118"/>
      <c r="N1539" s="193"/>
      <c r="P1539" s="193"/>
      <c r="Q1539" s="193"/>
      <c r="R1539" s="193"/>
      <c r="S1539" s="193"/>
    </row>
    <row r="1540">
      <c r="A1540" s="117"/>
      <c r="B1540" s="117"/>
      <c r="C1540" s="118"/>
      <c r="D1540" s="118"/>
      <c r="F1540" s="123"/>
      <c r="G1540" s="118"/>
      <c r="H1540" s="118"/>
      <c r="I1540" s="341"/>
      <c r="J1540" s="341"/>
      <c r="K1540" s="341"/>
      <c r="L1540" s="118"/>
      <c r="N1540" s="193"/>
      <c r="P1540" s="193"/>
      <c r="Q1540" s="193"/>
      <c r="R1540" s="193"/>
      <c r="S1540" s="193"/>
    </row>
    <row r="1541">
      <c r="A1541" s="117"/>
      <c r="B1541" s="117"/>
      <c r="C1541" s="118"/>
      <c r="D1541" s="118"/>
      <c r="F1541" s="123"/>
      <c r="G1541" s="118"/>
      <c r="H1541" s="118"/>
      <c r="I1541" s="341"/>
      <c r="J1541" s="341"/>
      <c r="K1541" s="341"/>
      <c r="L1541" s="118"/>
      <c r="N1541" s="193"/>
      <c r="P1541" s="193"/>
      <c r="Q1541" s="193"/>
      <c r="R1541" s="193"/>
      <c r="S1541" s="193"/>
    </row>
    <row r="1542">
      <c r="A1542" s="117"/>
      <c r="B1542" s="117"/>
      <c r="C1542" s="118"/>
      <c r="D1542" s="118"/>
      <c r="F1542" s="123"/>
      <c r="G1542" s="118"/>
      <c r="H1542" s="118"/>
      <c r="I1542" s="341"/>
      <c r="J1542" s="341"/>
      <c r="K1542" s="341"/>
      <c r="L1542" s="118"/>
      <c r="N1542" s="193"/>
      <c r="P1542" s="193"/>
      <c r="Q1542" s="193"/>
      <c r="R1542" s="193"/>
      <c r="S1542" s="193"/>
    </row>
    <row r="1543">
      <c r="A1543" s="117"/>
      <c r="B1543" s="117"/>
      <c r="C1543" s="118"/>
      <c r="D1543" s="118"/>
      <c r="F1543" s="123"/>
      <c r="G1543" s="118"/>
      <c r="H1543" s="118"/>
      <c r="I1543" s="341"/>
      <c r="J1543" s="341"/>
      <c r="K1543" s="341"/>
      <c r="L1543" s="118"/>
      <c r="N1543" s="193"/>
      <c r="P1543" s="193"/>
      <c r="Q1543" s="193"/>
      <c r="R1543" s="193"/>
      <c r="S1543" s="193"/>
    </row>
    <row r="1544">
      <c r="A1544" s="117"/>
      <c r="B1544" s="117"/>
      <c r="C1544" s="118"/>
      <c r="D1544" s="118"/>
      <c r="F1544" s="123"/>
      <c r="G1544" s="118"/>
      <c r="H1544" s="118"/>
      <c r="I1544" s="341"/>
      <c r="J1544" s="341"/>
      <c r="K1544" s="341"/>
      <c r="L1544" s="118"/>
      <c r="N1544" s="193"/>
      <c r="P1544" s="193"/>
      <c r="Q1544" s="193"/>
      <c r="R1544" s="193"/>
      <c r="S1544" s="193"/>
    </row>
    <row r="1545">
      <c r="A1545" s="117"/>
      <c r="B1545" s="117"/>
      <c r="C1545" s="118"/>
      <c r="D1545" s="118"/>
      <c r="F1545" s="123"/>
      <c r="G1545" s="118"/>
      <c r="H1545" s="118"/>
      <c r="I1545" s="341"/>
      <c r="J1545" s="341"/>
      <c r="K1545" s="341"/>
      <c r="L1545" s="118"/>
      <c r="N1545" s="193"/>
      <c r="P1545" s="193"/>
      <c r="Q1545" s="193"/>
      <c r="R1545" s="193"/>
      <c r="S1545" s="193"/>
    </row>
    <row r="1546">
      <c r="A1546" s="117"/>
      <c r="B1546" s="117"/>
      <c r="C1546" s="118"/>
      <c r="D1546" s="118"/>
      <c r="F1546" s="123"/>
      <c r="G1546" s="118"/>
      <c r="H1546" s="118"/>
      <c r="I1546" s="341"/>
      <c r="J1546" s="341"/>
      <c r="K1546" s="341"/>
      <c r="L1546" s="118"/>
      <c r="N1546" s="193"/>
      <c r="P1546" s="193"/>
      <c r="Q1546" s="193"/>
      <c r="R1546" s="193"/>
      <c r="S1546" s="193"/>
    </row>
    <row r="1547">
      <c r="A1547" s="117"/>
      <c r="B1547" s="117"/>
      <c r="C1547" s="118"/>
      <c r="D1547" s="118"/>
      <c r="F1547" s="123"/>
      <c r="G1547" s="118"/>
      <c r="H1547" s="118"/>
      <c r="I1547" s="341"/>
      <c r="J1547" s="341"/>
      <c r="K1547" s="341"/>
      <c r="L1547" s="118"/>
      <c r="N1547" s="193"/>
      <c r="P1547" s="193"/>
      <c r="Q1547" s="193"/>
      <c r="R1547" s="193"/>
      <c r="S1547" s="193"/>
    </row>
    <row r="1548">
      <c r="A1548" s="117"/>
      <c r="B1548" s="117"/>
      <c r="C1548" s="118"/>
      <c r="D1548" s="118"/>
      <c r="F1548" s="123"/>
      <c r="G1548" s="118"/>
      <c r="H1548" s="118"/>
      <c r="I1548" s="341"/>
      <c r="J1548" s="341"/>
      <c r="K1548" s="341"/>
      <c r="L1548" s="118"/>
      <c r="N1548" s="193"/>
      <c r="P1548" s="193"/>
      <c r="Q1548" s="193"/>
      <c r="R1548" s="193"/>
      <c r="S1548" s="193"/>
    </row>
    <row r="1549">
      <c r="A1549" s="117"/>
      <c r="B1549" s="117"/>
      <c r="C1549" s="118"/>
      <c r="D1549" s="118"/>
      <c r="F1549" s="123"/>
      <c r="G1549" s="118"/>
      <c r="H1549" s="118"/>
      <c r="I1549" s="341"/>
      <c r="J1549" s="341"/>
      <c r="K1549" s="341"/>
      <c r="L1549" s="118"/>
      <c r="N1549" s="193"/>
      <c r="P1549" s="193"/>
      <c r="Q1549" s="193"/>
      <c r="R1549" s="193"/>
      <c r="S1549" s="193"/>
    </row>
    <row r="1550">
      <c r="A1550" s="117"/>
      <c r="B1550" s="117"/>
      <c r="C1550" s="118"/>
      <c r="D1550" s="118"/>
      <c r="F1550" s="123"/>
      <c r="G1550" s="118"/>
      <c r="H1550" s="118"/>
      <c r="I1550" s="341"/>
      <c r="J1550" s="341"/>
      <c r="K1550" s="341"/>
      <c r="L1550" s="118"/>
      <c r="N1550" s="193"/>
      <c r="P1550" s="193"/>
      <c r="Q1550" s="193"/>
      <c r="R1550" s="193"/>
      <c r="S1550" s="193"/>
    </row>
    <row r="1551">
      <c r="A1551" s="117"/>
      <c r="B1551" s="117"/>
      <c r="C1551" s="118"/>
      <c r="D1551" s="118"/>
      <c r="F1551" s="123"/>
      <c r="G1551" s="118"/>
      <c r="H1551" s="118"/>
      <c r="I1551" s="341"/>
      <c r="J1551" s="341"/>
      <c r="K1551" s="341"/>
      <c r="L1551" s="118"/>
      <c r="N1551" s="193"/>
      <c r="P1551" s="193"/>
      <c r="Q1551" s="193"/>
      <c r="R1551" s="193"/>
      <c r="S1551" s="193"/>
    </row>
    <row r="1552">
      <c r="A1552" s="117"/>
      <c r="B1552" s="117"/>
      <c r="C1552" s="118"/>
      <c r="D1552" s="118"/>
      <c r="F1552" s="123"/>
      <c r="G1552" s="118"/>
      <c r="H1552" s="118"/>
      <c r="I1552" s="341"/>
      <c r="J1552" s="341"/>
      <c r="K1552" s="341"/>
      <c r="L1552" s="118"/>
      <c r="N1552" s="193"/>
      <c r="P1552" s="193"/>
      <c r="Q1552" s="193"/>
      <c r="R1552" s="193"/>
      <c r="S1552" s="193"/>
    </row>
    <row r="1553">
      <c r="A1553" s="117"/>
      <c r="B1553" s="117"/>
      <c r="C1553" s="118"/>
      <c r="D1553" s="118"/>
      <c r="F1553" s="123"/>
      <c r="G1553" s="118"/>
      <c r="H1553" s="118"/>
      <c r="I1553" s="341"/>
      <c r="J1553" s="341"/>
      <c r="K1553" s="341"/>
      <c r="L1553" s="118"/>
      <c r="N1553" s="193"/>
      <c r="P1553" s="193"/>
      <c r="Q1553" s="193"/>
      <c r="R1553" s="193"/>
      <c r="S1553" s="193"/>
    </row>
    <row r="1554">
      <c r="A1554" s="117"/>
      <c r="B1554" s="117"/>
      <c r="C1554" s="118"/>
      <c r="D1554" s="118"/>
      <c r="F1554" s="123"/>
      <c r="G1554" s="118"/>
      <c r="H1554" s="118"/>
      <c r="I1554" s="341"/>
      <c r="J1554" s="341"/>
      <c r="K1554" s="341"/>
      <c r="L1554" s="118"/>
      <c r="N1554" s="193"/>
      <c r="P1554" s="193"/>
      <c r="Q1554" s="193"/>
      <c r="R1554" s="193"/>
      <c r="S1554" s="193"/>
    </row>
    <row r="1555">
      <c r="A1555" s="117"/>
      <c r="B1555" s="117"/>
      <c r="C1555" s="118"/>
      <c r="D1555" s="118"/>
      <c r="F1555" s="123"/>
      <c r="G1555" s="118"/>
      <c r="H1555" s="118"/>
      <c r="I1555" s="341"/>
      <c r="J1555" s="341"/>
      <c r="K1555" s="341"/>
      <c r="L1555" s="118"/>
      <c r="N1555" s="193"/>
      <c r="P1555" s="193"/>
      <c r="Q1555" s="193"/>
      <c r="R1555" s="193"/>
      <c r="S1555" s="193"/>
    </row>
    <row r="1556">
      <c r="A1556" s="117"/>
      <c r="B1556" s="117"/>
      <c r="C1556" s="118"/>
      <c r="D1556" s="118"/>
      <c r="F1556" s="123"/>
      <c r="G1556" s="118"/>
      <c r="H1556" s="118"/>
      <c r="I1556" s="341"/>
      <c r="J1556" s="341"/>
      <c r="K1556" s="341"/>
      <c r="L1556" s="118"/>
      <c r="N1556" s="193"/>
      <c r="P1556" s="193"/>
      <c r="Q1556" s="193"/>
      <c r="R1556" s="193"/>
      <c r="S1556" s="193"/>
    </row>
    <row r="1557">
      <c r="A1557" s="117"/>
      <c r="B1557" s="117"/>
      <c r="C1557" s="118"/>
      <c r="D1557" s="118"/>
      <c r="F1557" s="123"/>
      <c r="G1557" s="118"/>
      <c r="H1557" s="118"/>
      <c r="I1557" s="341"/>
      <c r="J1557" s="341"/>
      <c r="K1557" s="341"/>
      <c r="L1557" s="118"/>
      <c r="N1557" s="193"/>
      <c r="P1557" s="193"/>
      <c r="Q1557" s="193"/>
      <c r="R1557" s="193"/>
      <c r="S1557" s="193"/>
    </row>
    <row r="1558">
      <c r="A1558" s="117"/>
      <c r="B1558" s="117"/>
      <c r="C1558" s="118"/>
      <c r="D1558" s="118"/>
      <c r="F1558" s="123"/>
      <c r="G1558" s="118"/>
      <c r="H1558" s="118"/>
      <c r="I1558" s="341"/>
      <c r="J1558" s="341"/>
      <c r="K1558" s="341"/>
      <c r="L1558" s="118"/>
      <c r="N1558" s="193"/>
      <c r="P1558" s="193"/>
      <c r="Q1558" s="193"/>
      <c r="R1558" s="193"/>
      <c r="S1558" s="193"/>
    </row>
    <row r="1559">
      <c r="A1559" s="117"/>
      <c r="B1559" s="117"/>
      <c r="C1559" s="118"/>
      <c r="D1559" s="118"/>
      <c r="F1559" s="123"/>
      <c r="G1559" s="118"/>
      <c r="H1559" s="118"/>
      <c r="I1559" s="341"/>
      <c r="J1559" s="341"/>
      <c r="K1559" s="341"/>
      <c r="L1559" s="118"/>
      <c r="N1559" s="193"/>
      <c r="P1559" s="193"/>
      <c r="Q1559" s="193"/>
      <c r="R1559" s="193"/>
      <c r="S1559" s="193"/>
    </row>
    <row r="1560">
      <c r="A1560" s="117"/>
      <c r="B1560" s="117"/>
      <c r="C1560" s="118"/>
      <c r="D1560" s="118"/>
      <c r="F1560" s="123"/>
      <c r="G1560" s="118"/>
      <c r="H1560" s="118"/>
      <c r="I1560" s="341"/>
      <c r="J1560" s="341"/>
      <c r="K1560" s="341"/>
      <c r="L1560" s="118"/>
      <c r="N1560" s="193"/>
      <c r="P1560" s="193"/>
      <c r="Q1560" s="193"/>
      <c r="R1560" s="193"/>
      <c r="S1560" s="193"/>
    </row>
    <row r="1561">
      <c r="A1561" s="117"/>
      <c r="B1561" s="117"/>
      <c r="C1561" s="118"/>
      <c r="D1561" s="118"/>
      <c r="F1561" s="123"/>
      <c r="G1561" s="118"/>
      <c r="H1561" s="118"/>
      <c r="I1561" s="341"/>
      <c r="J1561" s="341"/>
      <c r="K1561" s="341"/>
      <c r="L1561" s="118"/>
      <c r="N1561" s="193"/>
      <c r="P1561" s="193"/>
      <c r="Q1561" s="193"/>
      <c r="R1561" s="193"/>
      <c r="S1561" s="193"/>
    </row>
    <row r="1562">
      <c r="A1562" s="117"/>
      <c r="B1562" s="117"/>
      <c r="C1562" s="118"/>
      <c r="D1562" s="118"/>
      <c r="F1562" s="123"/>
      <c r="G1562" s="118"/>
      <c r="H1562" s="118"/>
      <c r="I1562" s="341"/>
      <c r="J1562" s="341"/>
      <c r="K1562" s="341"/>
      <c r="L1562" s="118"/>
      <c r="N1562" s="193"/>
      <c r="P1562" s="193"/>
      <c r="Q1562" s="193"/>
      <c r="R1562" s="193"/>
      <c r="S1562" s="193"/>
    </row>
    <row r="1563">
      <c r="A1563" s="117"/>
      <c r="B1563" s="117"/>
      <c r="C1563" s="118"/>
      <c r="D1563" s="118"/>
      <c r="F1563" s="123"/>
      <c r="G1563" s="118"/>
      <c r="H1563" s="118"/>
      <c r="I1563" s="341"/>
      <c r="J1563" s="341"/>
      <c r="K1563" s="341"/>
      <c r="L1563" s="118"/>
      <c r="N1563" s="193"/>
      <c r="P1563" s="193"/>
      <c r="Q1563" s="193"/>
      <c r="R1563" s="193"/>
      <c r="S1563" s="193"/>
    </row>
    <row r="1564">
      <c r="A1564" s="117"/>
      <c r="B1564" s="117"/>
      <c r="C1564" s="118"/>
      <c r="D1564" s="118"/>
      <c r="F1564" s="123"/>
      <c r="G1564" s="118"/>
      <c r="H1564" s="118"/>
      <c r="I1564" s="341"/>
      <c r="J1564" s="341"/>
      <c r="K1564" s="341"/>
      <c r="L1564" s="118"/>
      <c r="N1564" s="193"/>
      <c r="P1564" s="193"/>
      <c r="Q1564" s="193"/>
      <c r="R1564" s="193"/>
      <c r="S1564" s="193"/>
    </row>
    <row r="1565">
      <c r="A1565" s="117"/>
      <c r="B1565" s="117"/>
      <c r="C1565" s="118"/>
      <c r="D1565" s="118"/>
      <c r="F1565" s="123"/>
      <c r="G1565" s="118"/>
      <c r="H1565" s="118"/>
      <c r="I1565" s="341"/>
      <c r="J1565" s="341"/>
      <c r="K1565" s="341"/>
      <c r="L1565" s="118"/>
      <c r="N1565" s="193"/>
      <c r="P1565" s="193"/>
      <c r="Q1565" s="193"/>
      <c r="R1565" s="193"/>
      <c r="S1565" s="193"/>
    </row>
    <row r="1566">
      <c r="A1566" s="117"/>
      <c r="B1566" s="117"/>
      <c r="C1566" s="118"/>
      <c r="D1566" s="118"/>
      <c r="F1566" s="342"/>
      <c r="G1566" s="118"/>
      <c r="H1566" s="118"/>
      <c r="I1566" s="341"/>
      <c r="J1566" s="341"/>
      <c r="K1566" s="341"/>
      <c r="L1566" s="118"/>
      <c r="N1566" s="193"/>
      <c r="P1566" s="193"/>
      <c r="Q1566" s="193"/>
      <c r="R1566" s="193"/>
      <c r="S1566" s="193"/>
    </row>
    <row r="1567">
      <c r="A1567" s="117"/>
      <c r="B1567" s="117"/>
      <c r="C1567" s="118"/>
      <c r="D1567" s="118"/>
      <c r="F1567" s="342"/>
      <c r="G1567" s="118"/>
      <c r="H1567" s="118"/>
      <c r="I1567" s="341"/>
      <c r="J1567" s="341"/>
      <c r="K1567" s="341"/>
      <c r="L1567" s="118"/>
      <c r="N1567" s="193"/>
      <c r="P1567" s="193"/>
      <c r="Q1567" s="193"/>
      <c r="R1567" s="193"/>
      <c r="S1567" s="193"/>
    </row>
    <row r="1568">
      <c r="A1568" s="117"/>
      <c r="B1568" s="117"/>
      <c r="C1568" s="118"/>
      <c r="D1568" s="118"/>
      <c r="F1568" s="342"/>
      <c r="G1568" s="118"/>
      <c r="H1568" s="118"/>
      <c r="I1568" s="341"/>
      <c r="J1568" s="341"/>
      <c r="K1568" s="341"/>
      <c r="L1568" s="118"/>
      <c r="N1568" s="193"/>
      <c r="P1568" s="193"/>
      <c r="Q1568" s="193"/>
      <c r="R1568" s="193"/>
      <c r="S1568" s="193"/>
    </row>
    <row r="1569">
      <c r="A1569" s="117"/>
      <c r="B1569" s="117"/>
      <c r="C1569" s="118"/>
      <c r="D1569" s="118"/>
      <c r="F1569" s="342"/>
      <c r="G1569" s="118"/>
      <c r="H1569" s="118"/>
      <c r="I1569" s="341"/>
      <c r="J1569" s="341"/>
      <c r="K1569" s="341"/>
      <c r="L1569" s="118"/>
      <c r="N1569" s="193"/>
      <c r="P1569" s="193"/>
      <c r="Q1569" s="193"/>
      <c r="R1569" s="193"/>
      <c r="S1569" s="193"/>
    </row>
    <row r="1570">
      <c r="A1570" s="117"/>
      <c r="B1570" s="117"/>
      <c r="C1570" s="118"/>
      <c r="D1570" s="118"/>
      <c r="F1570" s="342"/>
      <c r="G1570" s="118"/>
      <c r="H1570" s="118"/>
      <c r="I1570" s="341"/>
      <c r="J1570" s="341"/>
      <c r="K1570" s="341"/>
      <c r="L1570" s="118"/>
      <c r="N1570" s="193"/>
      <c r="P1570" s="193"/>
      <c r="Q1570" s="193"/>
      <c r="R1570" s="193"/>
      <c r="S1570" s="193"/>
    </row>
    <row r="1571">
      <c r="A1571" s="117"/>
      <c r="B1571" s="117"/>
      <c r="C1571" s="118"/>
      <c r="D1571" s="118"/>
      <c r="F1571" s="342"/>
      <c r="G1571" s="118"/>
      <c r="H1571" s="118"/>
      <c r="I1571" s="341"/>
      <c r="J1571" s="341"/>
      <c r="K1571" s="341"/>
      <c r="L1571" s="118"/>
      <c r="N1571" s="193"/>
      <c r="P1571" s="193"/>
      <c r="Q1571" s="193"/>
      <c r="R1571" s="193"/>
      <c r="S1571" s="193"/>
    </row>
    <row r="1572">
      <c r="A1572" s="117"/>
      <c r="B1572" s="117"/>
      <c r="C1572" s="118"/>
      <c r="D1572" s="118"/>
      <c r="F1572" s="342"/>
      <c r="G1572" s="118"/>
      <c r="H1572" s="118"/>
      <c r="I1572" s="341"/>
      <c r="J1572" s="341"/>
      <c r="K1572" s="341"/>
      <c r="L1572" s="118"/>
      <c r="N1572" s="193"/>
      <c r="P1572" s="193"/>
      <c r="Q1572" s="193"/>
      <c r="R1572" s="193"/>
      <c r="S1572" s="193"/>
    </row>
    <row r="1573">
      <c r="A1573" s="117"/>
      <c r="B1573" s="117"/>
      <c r="C1573" s="118"/>
      <c r="D1573" s="118"/>
      <c r="F1573" s="342"/>
      <c r="G1573" s="118"/>
      <c r="H1573" s="118"/>
      <c r="I1573" s="341"/>
      <c r="J1573" s="341"/>
      <c r="K1573" s="341"/>
      <c r="L1573" s="118"/>
      <c r="N1573" s="193"/>
      <c r="P1573" s="193"/>
      <c r="Q1573" s="193"/>
      <c r="R1573" s="193"/>
      <c r="S1573" s="193"/>
    </row>
    <row r="1574">
      <c r="A1574" s="117"/>
      <c r="B1574" s="117"/>
      <c r="C1574" s="118"/>
      <c r="D1574" s="118"/>
      <c r="F1574" s="342"/>
      <c r="G1574" s="118"/>
      <c r="H1574" s="118"/>
      <c r="I1574" s="341"/>
      <c r="J1574" s="341"/>
      <c r="K1574" s="341"/>
      <c r="L1574" s="118"/>
      <c r="N1574" s="193"/>
      <c r="P1574" s="193"/>
      <c r="Q1574" s="193"/>
      <c r="R1574" s="193"/>
      <c r="S1574" s="193"/>
    </row>
    <row r="1575">
      <c r="A1575" s="117"/>
      <c r="B1575" s="117"/>
      <c r="C1575" s="118"/>
      <c r="D1575" s="118"/>
      <c r="F1575" s="342"/>
      <c r="G1575" s="118"/>
      <c r="H1575" s="118"/>
      <c r="I1575" s="341"/>
      <c r="J1575" s="341"/>
      <c r="K1575" s="341"/>
      <c r="L1575" s="118"/>
      <c r="N1575" s="193"/>
      <c r="P1575" s="193"/>
      <c r="Q1575" s="193"/>
      <c r="R1575" s="193"/>
      <c r="S1575" s="193"/>
    </row>
    <row r="1576">
      <c r="A1576" s="117"/>
      <c r="B1576" s="117"/>
      <c r="C1576" s="118"/>
      <c r="D1576" s="118"/>
      <c r="F1576" s="342"/>
      <c r="G1576" s="118"/>
      <c r="H1576" s="118"/>
      <c r="I1576" s="341"/>
      <c r="J1576" s="341"/>
      <c r="K1576" s="341"/>
      <c r="L1576" s="118"/>
      <c r="N1576" s="193"/>
      <c r="P1576" s="193"/>
      <c r="Q1576" s="193"/>
      <c r="R1576" s="193"/>
      <c r="S1576" s="193"/>
    </row>
    <row r="1577">
      <c r="A1577" s="117"/>
      <c r="B1577" s="117"/>
      <c r="C1577" s="118"/>
      <c r="D1577" s="118"/>
      <c r="F1577" s="342"/>
      <c r="G1577" s="118"/>
      <c r="H1577" s="118"/>
      <c r="I1577" s="341"/>
      <c r="J1577" s="341"/>
      <c r="K1577" s="341"/>
      <c r="L1577" s="118"/>
      <c r="N1577" s="193"/>
      <c r="P1577" s="193"/>
      <c r="Q1577" s="193"/>
      <c r="R1577" s="193"/>
      <c r="S1577" s="193"/>
    </row>
    <row r="1578">
      <c r="A1578" s="117"/>
      <c r="B1578" s="117"/>
      <c r="C1578" s="118"/>
      <c r="D1578" s="118"/>
      <c r="F1578" s="342"/>
      <c r="G1578" s="118"/>
      <c r="H1578" s="118"/>
      <c r="I1578" s="341"/>
      <c r="J1578" s="341"/>
      <c r="K1578" s="341"/>
      <c r="L1578" s="118"/>
      <c r="N1578" s="193"/>
      <c r="P1578" s="193"/>
      <c r="Q1578" s="193"/>
      <c r="R1578" s="193"/>
      <c r="S1578" s="193"/>
    </row>
    <row r="1579">
      <c r="A1579" s="117"/>
      <c r="B1579" s="117"/>
      <c r="C1579" s="118"/>
      <c r="D1579" s="118"/>
      <c r="F1579" s="342"/>
      <c r="G1579" s="118"/>
      <c r="H1579" s="118"/>
      <c r="I1579" s="341"/>
      <c r="J1579" s="341"/>
      <c r="K1579" s="341"/>
      <c r="L1579" s="118"/>
      <c r="N1579" s="193"/>
      <c r="P1579" s="193"/>
      <c r="Q1579" s="193"/>
      <c r="R1579" s="193"/>
      <c r="S1579" s="193"/>
    </row>
    <row r="1580">
      <c r="A1580" s="117"/>
      <c r="B1580" s="117"/>
      <c r="C1580" s="118"/>
      <c r="D1580" s="118"/>
      <c r="F1580" s="342"/>
      <c r="G1580" s="118"/>
      <c r="H1580" s="118"/>
      <c r="I1580" s="341"/>
      <c r="J1580" s="341"/>
      <c r="K1580" s="341"/>
      <c r="L1580" s="118"/>
      <c r="N1580" s="193"/>
      <c r="P1580" s="193"/>
      <c r="Q1580" s="193"/>
      <c r="R1580" s="193"/>
      <c r="S1580" s="193"/>
    </row>
    <row r="1581">
      <c r="A1581" s="117"/>
      <c r="B1581" s="117"/>
      <c r="C1581" s="118"/>
      <c r="D1581" s="118"/>
      <c r="F1581" s="342"/>
      <c r="G1581" s="118"/>
      <c r="H1581" s="118"/>
      <c r="I1581" s="341"/>
      <c r="J1581" s="341"/>
      <c r="K1581" s="341"/>
      <c r="L1581" s="118"/>
      <c r="N1581" s="193"/>
      <c r="P1581" s="193"/>
      <c r="Q1581" s="193"/>
      <c r="R1581" s="193"/>
      <c r="S1581" s="193"/>
    </row>
    <row r="1582">
      <c r="A1582" s="117"/>
      <c r="B1582" s="117"/>
      <c r="C1582" s="118"/>
      <c r="D1582" s="118"/>
      <c r="F1582" s="342"/>
      <c r="G1582" s="118"/>
      <c r="H1582" s="118"/>
      <c r="I1582" s="341"/>
      <c r="J1582" s="341"/>
      <c r="K1582" s="341"/>
      <c r="L1582" s="118"/>
      <c r="N1582" s="193"/>
      <c r="P1582" s="193"/>
      <c r="Q1582" s="193"/>
      <c r="R1582" s="193"/>
      <c r="S1582" s="193"/>
    </row>
    <row r="1583">
      <c r="A1583" s="117"/>
      <c r="B1583" s="117"/>
      <c r="C1583" s="118"/>
      <c r="D1583" s="118"/>
      <c r="F1583" s="342"/>
      <c r="G1583" s="118"/>
      <c r="H1583" s="118"/>
      <c r="I1583" s="341"/>
      <c r="J1583" s="341"/>
      <c r="K1583" s="341"/>
      <c r="L1583" s="118"/>
      <c r="N1583" s="193"/>
      <c r="P1583" s="193"/>
      <c r="Q1583" s="193"/>
      <c r="R1583" s="193"/>
      <c r="S1583" s="193"/>
    </row>
    <row r="1584">
      <c r="A1584" s="117"/>
      <c r="B1584" s="117"/>
      <c r="C1584" s="118"/>
      <c r="D1584" s="118"/>
      <c r="F1584" s="342"/>
      <c r="G1584" s="118"/>
      <c r="H1584" s="118"/>
      <c r="I1584" s="341"/>
      <c r="J1584" s="341"/>
      <c r="K1584" s="341"/>
      <c r="L1584" s="118"/>
      <c r="N1584" s="193"/>
      <c r="P1584" s="193"/>
      <c r="Q1584" s="193"/>
      <c r="R1584" s="193"/>
      <c r="S1584" s="193"/>
    </row>
    <row r="1585">
      <c r="A1585" s="117"/>
      <c r="B1585" s="117"/>
      <c r="C1585" s="118"/>
      <c r="D1585" s="118"/>
      <c r="F1585" s="342"/>
      <c r="G1585" s="118"/>
      <c r="H1585" s="118"/>
      <c r="I1585" s="341"/>
      <c r="J1585" s="341"/>
      <c r="K1585" s="341"/>
      <c r="L1585" s="118"/>
      <c r="N1585" s="193"/>
      <c r="P1585" s="193"/>
      <c r="Q1585" s="193"/>
      <c r="R1585" s="193"/>
      <c r="S1585" s="193"/>
    </row>
    <row r="1586">
      <c r="A1586" s="117"/>
      <c r="B1586" s="117"/>
      <c r="C1586" s="118"/>
      <c r="D1586" s="118"/>
      <c r="F1586" s="342"/>
      <c r="G1586" s="118"/>
      <c r="H1586" s="118"/>
      <c r="I1586" s="341"/>
      <c r="J1586" s="341"/>
      <c r="K1586" s="341"/>
      <c r="L1586" s="118"/>
      <c r="N1586" s="193"/>
      <c r="P1586" s="193"/>
      <c r="Q1586" s="193"/>
      <c r="R1586" s="193"/>
      <c r="S1586" s="193"/>
    </row>
    <row r="1587">
      <c r="A1587" s="117"/>
      <c r="B1587" s="117"/>
      <c r="C1587" s="118"/>
      <c r="D1587" s="118"/>
      <c r="F1587" s="342"/>
      <c r="G1587" s="118"/>
      <c r="H1587" s="118"/>
      <c r="I1587" s="341"/>
      <c r="J1587" s="341"/>
      <c r="K1587" s="341"/>
      <c r="L1587" s="118"/>
      <c r="N1587" s="193"/>
      <c r="P1587" s="193"/>
      <c r="Q1587" s="193"/>
      <c r="R1587" s="193"/>
      <c r="S1587" s="193"/>
    </row>
    <row r="1588">
      <c r="A1588" s="117"/>
      <c r="B1588" s="117"/>
      <c r="C1588" s="118"/>
      <c r="D1588" s="118"/>
      <c r="F1588" s="342"/>
      <c r="G1588" s="118"/>
      <c r="H1588" s="118"/>
      <c r="I1588" s="341"/>
      <c r="J1588" s="341"/>
      <c r="K1588" s="341"/>
      <c r="L1588" s="118"/>
      <c r="N1588" s="193"/>
      <c r="P1588" s="193"/>
      <c r="Q1588" s="193"/>
      <c r="R1588" s="193"/>
      <c r="S1588" s="193"/>
    </row>
    <row r="1589">
      <c r="A1589" s="117"/>
      <c r="B1589" s="117"/>
      <c r="C1589" s="118"/>
      <c r="D1589" s="118"/>
      <c r="F1589" s="342"/>
      <c r="G1589" s="118"/>
      <c r="H1589" s="118"/>
      <c r="I1589" s="341"/>
      <c r="J1589" s="341"/>
      <c r="K1589" s="341"/>
      <c r="L1589" s="118"/>
      <c r="N1589" s="193"/>
      <c r="P1589" s="193"/>
      <c r="Q1589" s="193"/>
      <c r="R1589" s="193"/>
      <c r="S1589" s="193"/>
    </row>
    <row r="1590">
      <c r="A1590" s="117"/>
      <c r="B1590" s="117"/>
      <c r="C1590" s="118"/>
      <c r="D1590" s="118"/>
      <c r="F1590" s="342"/>
      <c r="G1590" s="118"/>
      <c r="H1590" s="118"/>
      <c r="I1590" s="341"/>
      <c r="J1590" s="341"/>
      <c r="K1590" s="341"/>
      <c r="L1590" s="118"/>
      <c r="N1590" s="193"/>
      <c r="P1590" s="193"/>
      <c r="Q1590" s="193"/>
      <c r="R1590" s="193"/>
      <c r="S1590" s="193"/>
    </row>
    <row r="1591">
      <c r="A1591" s="117"/>
      <c r="B1591" s="117"/>
      <c r="C1591" s="118"/>
      <c r="D1591" s="118"/>
      <c r="F1591" s="342"/>
      <c r="G1591" s="118"/>
      <c r="H1591" s="118"/>
      <c r="I1591" s="341"/>
      <c r="J1591" s="341"/>
      <c r="K1591" s="341"/>
      <c r="L1591" s="118"/>
      <c r="N1591" s="193"/>
      <c r="P1591" s="193"/>
      <c r="Q1591" s="193"/>
      <c r="R1591" s="193"/>
      <c r="S1591" s="193"/>
    </row>
    <row r="1592">
      <c r="A1592" s="117"/>
      <c r="B1592" s="117"/>
      <c r="C1592" s="118"/>
      <c r="D1592" s="118"/>
      <c r="F1592" s="342"/>
      <c r="G1592" s="118"/>
      <c r="H1592" s="118"/>
      <c r="I1592" s="341"/>
      <c r="J1592" s="341"/>
      <c r="K1592" s="341"/>
      <c r="L1592" s="118"/>
      <c r="N1592" s="193"/>
      <c r="P1592" s="193"/>
      <c r="Q1592" s="193"/>
      <c r="R1592" s="193"/>
      <c r="S1592" s="193"/>
    </row>
    <row r="1593">
      <c r="A1593" s="117"/>
      <c r="B1593" s="117"/>
      <c r="C1593" s="118"/>
      <c r="D1593" s="118"/>
      <c r="F1593" s="342"/>
      <c r="G1593" s="118"/>
      <c r="H1593" s="118"/>
      <c r="I1593" s="341"/>
      <c r="J1593" s="341"/>
      <c r="K1593" s="341"/>
      <c r="L1593" s="118"/>
      <c r="N1593" s="193"/>
      <c r="P1593" s="193"/>
      <c r="Q1593" s="193"/>
      <c r="R1593" s="193"/>
      <c r="S1593" s="193"/>
    </row>
    <row r="1594">
      <c r="A1594" s="117"/>
      <c r="B1594" s="117"/>
      <c r="C1594" s="118"/>
      <c r="D1594" s="118"/>
      <c r="F1594" s="342"/>
      <c r="G1594" s="118"/>
      <c r="H1594" s="118"/>
      <c r="I1594" s="341"/>
      <c r="J1594" s="341"/>
      <c r="K1594" s="341"/>
      <c r="L1594" s="118"/>
      <c r="N1594" s="193"/>
      <c r="P1594" s="193"/>
      <c r="Q1594" s="193"/>
      <c r="R1594" s="193"/>
      <c r="S1594" s="193"/>
    </row>
    <row r="1595">
      <c r="A1595" s="117"/>
      <c r="B1595" s="117"/>
      <c r="C1595" s="118"/>
      <c r="D1595" s="118"/>
      <c r="F1595" s="342"/>
      <c r="G1595" s="118"/>
      <c r="H1595" s="118"/>
      <c r="I1595" s="341"/>
      <c r="J1595" s="341"/>
      <c r="K1595" s="341"/>
      <c r="L1595" s="118"/>
      <c r="N1595" s="193"/>
      <c r="P1595" s="193"/>
      <c r="Q1595" s="193"/>
      <c r="R1595" s="193"/>
      <c r="S1595" s="193"/>
    </row>
    <row r="1596">
      <c r="A1596" s="117"/>
      <c r="B1596" s="117"/>
      <c r="C1596" s="118"/>
      <c r="D1596" s="118"/>
      <c r="F1596" s="342"/>
      <c r="G1596" s="118"/>
      <c r="H1596" s="118"/>
      <c r="I1596" s="341"/>
      <c r="J1596" s="341"/>
      <c r="K1596" s="341"/>
      <c r="L1596" s="118"/>
      <c r="N1596" s="193"/>
      <c r="P1596" s="193"/>
      <c r="Q1596" s="193"/>
      <c r="R1596" s="193"/>
      <c r="S1596" s="193"/>
    </row>
    <row r="1597">
      <c r="A1597" s="117"/>
      <c r="B1597" s="117"/>
      <c r="C1597" s="118"/>
      <c r="D1597" s="118"/>
      <c r="F1597" s="342"/>
      <c r="G1597" s="118"/>
      <c r="H1597" s="118"/>
      <c r="I1597" s="341"/>
      <c r="J1597" s="341"/>
      <c r="K1597" s="341"/>
      <c r="L1597" s="118"/>
      <c r="N1597" s="193"/>
      <c r="P1597" s="193"/>
      <c r="Q1597" s="193"/>
      <c r="R1597" s="193"/>
      <c r="S1597" s="193"/>
    </row>
    <row r="1598">
      <c r="A1598" s="117"/>
      <c r="B1598" s="117"/>
      <c r="C1598" s="118"/>
      <c r="D1598" s="118"/>
      <c r="F1598" s="342"/>
      <c r="G1598" s="118"/>
      <c r="H1598" s="118"/>
      <c r="I1598" s="341"/>
      <c r="J1598" s="341"/>
      <c r="K1598" s="341"/>
      <c r="L1598" s="118"/>
      <c r="N1598" s="193"/>
      <c r="P1598" s="193"/>
      <c r="Q1598" s="193"/>
      <c r="R1598" s="193"/>
      <c r="S1598" s="193"/>
    </row>
    <row r="1599">
      <c r="A1599" s="117"/>
      <c r="B1599" s="117"/>
      <c r="C1599" s="118"/>
      <c r="D1599" s="118"/>
      <c r="F1599" s="342"/>
      <c r="G1599" s="118"/>
      <c r="H1599" s="118"/>
      <c r="I1599" s="341"/>
      <c r="J1599" s="341"/>
      <c r="K1599" s="341"/>
      <c r="L1599" s="118"/>
      <c r="N1599" s="193"/>
      <c r="P1599" s="193"/>
      <c r="Q1599" s="193"/>
      <c r="R1599" s="193"/>
      <c r="S1599" s="193"/>
    </row>
    <row r="1600">
      <c r="A1600" s="117"/>
      <c r="B1600" s="117"/>
      <c r="C1600" s="118"/>
      <c r="D1600" s="118"/>
      <c r="F1600" s="342"/>
      <c r="G1600" s="118"/>
      <c r="H1600" s="118"/>
      <c r="I1600" s="341"/>
      <c r="J1600" s="341"/>
      <c r="K1600" s="341"/>
      <c r="L1600" s="118"/>
      <c r="N1600" s="193"/>
      <c r="P1600" s="193"/>
      <c r="Q1600" s="193"/>
      <c r="R1600" s="193"/>
      <c r="S1600" s="193"/>
    </row>
    <row r="1601">
      <c r="A1601" s="117"/>
      <c r="B1601" s="117"/>
      <c r="C1601" s="118"/>
      <c r="D1601" s="118"/>
      <c r="F1601" s="342"/>
      <c r="G1601" s="118"/>
      <c r="H1601" s="118"/>
      <c r="I1601" s="341"/>
      <c r="J1601" s="341"/>
      <c r="K1601" s="341"/>
      <c r="L1601" s="118"/>
      <c r="N1601" s="193"/>
      <c r="P1601" s="193"/>
      <c r="Q1601" s="193"/>
      <c r="R1601" s="193"/>
      <c r="S1601" s="193"/>
    </row>
    <row r="1602">
      <c r="A1602" s="117"/>
      <c r="B1602" s="117"/>
      <c r="C1602" s="118"/>
      <c r="D1602" s="118"/>
      <c r="F1602" s="342"/>
      <c r="G1602" s="118"/>
      <c r="H1602" s="118"/>
      <c r="I1602" s="341"/>
      <c r="J1602" s="341"/>
      <c r="K1602" s="341"/>
      <c r="L1602" s="118"/>
      <c r="N1602" s="193"/>
      <c r="P1602" s="193"/>
      <c r="Q1602" s="193"/>
      <c r="R1602" s="193"/>
      <c r="S1602" s="193"/>
    </row>
    <row r="1603">
      <c r="A1603" s="117"/>
      <c r="B1603" s="117"/>
      <c r="C1603" s="118"/>
      <c r="D1603" s="118"/>
      <c r="F1603" s="342"/>
      <c r="G1603" s="118"/>
      <c r="H1603" s="118"/>
      <c r="I1603" s="341"/>
      <c r="J1603" s="341"/>
      <c r="K1603" s="341"/>
      <c r="L1603" s="118"/>
      <c r="N1603" s="193"/>
      <c r="P1603" s="193"/>
      <c r="Q1603" s="193"/>
      <c r="R1603" s="193"/>
      <c r="S1603" s="193"/>
    </row>
    <row r="1604">
      <c r="A1604" s="117"/>
      <c r="B1604" s="117"/>
      <c r="C1604" s="118"/>
      <c r="D1604" s="118"/>
      <c r="F1604" s="342"/>
      <c r="G1604" s="118"/>
      <c r="H1604" s="118"/>
      <c r="I1604" s="341"/>
      <c r="J1604" s="341"/>
      <c r="K1604" s="341"/>
      <c r="L1604" s="118"/>
      <c r="N1604" s="193"/>
      <c r="P1604" s="193"/>
      <c r="Q1604" s="193"/>
      <c r="R1604" s="193"/>
      <c r="S1604" s="193"/>
    </row>
    <row r="1605">
      <c r="A1605" s="117"/>
      <c r="B1605" s="117"/>
      <c r="C1605" s="118"/>
      <c r="D1605" s="118"/>
      <c r="F1605" s="342"/>
      <c r="G1605" s="118"/>
      <c r="H1605" s="118"/>
      <c r="I1605" s="341"/>
      <c r="J1605" s="341"/>
      <c r="K1605" s="341"/>
      <c r="L1605" s="118"/>
      <c r="N1605" s="193"/>
      <c r="P1605" s="193"/>
      <c r="Q1605" s="193"/>
      <c r="R1605" s="193"/>
      <c r="S1605" s="193"/>
    </row>
    <row r="1606">
      <c r="A1606" s="117"/>
      <c r="B1606" s="117"/>
      <c r="C1606" s="118"/>
      <c r="D1606" s="118"/>
      <c r="F1606" s="342"/>
      <c r="G1606" s="118"/>
      <c r="H1606" s="118"/>
      <c r="I1606" s="341"/>
      <c r="J1606" s="341"/>
      <c r="K1606" s="341"/>
      <c r="L1606" s="118"/>
      <c r="N1606" s="193"/>
      <c r="P1606" s="193"/>
      <c r="Q1606" s="193"/>
      <c r="R1606" s="193"/>
      <c r="S1606" s="193"/>
    </row>
    <row r="1607">
      <c r="A1607" s="117"/>
      <c r="B1607" s="117"/>
      <c r="C1607" s="118"/>
      <c r="D1607" s="118"/>
      <c r="F1607" s="342"/>
      <c r="G1607" s="118"/>
      <c r="H1607" s="118"/>
      <c r="I1607" s="341"/>
      <c r="J1607" s="341"/>
      <c r="K1607" s="341"/>
      <c r="L1607" s="118"/>
      <c r="N1607" s="193"/>
      <c r="P1607" s="193"/>
      <c r="Q1607" s="193"/>
      <c r="R1607" s="193"/>
      <c r="S1607" s="193"/>
    </row>
    <row r="1608">
      <c r="A1608" s="117"/>
      <c r="B1608" s="117"/>
      <c r="C1608" s="118"/>
      <c r="D1608" s="118"/>
      <c r="F1608" s="342"/>
      <c r="G1608" s="118"/>
      <c r="H1608" s="118"/>
      <c r="I1608" s="341"/>
      <c r="J1608" s="341"/>
      <c r="K1608" s="341"/>
      <c r="L1608" s="118"/>
      <c r="N1608" s="193"/>
      <c r="P1608" s="193"/>
      <c r="Q1608" s="193"/>
      <c r="R1608" s="193"/>
      <c r="S1608" s="193"/>
    </row>
    <row r="1609">
      <c r="A1609" s="117"/>
      <c r="B1609" s="117"/>
      <c r="C1609" s="118"/>
      <c r="D1609" s="118"/>
      <c r="F1609" s="342"/>
      <c r="G1609" s="118"/>
      <c r="H1609" s="118"/>
      <c r="I1609" s="341"/>
      <c r="J1609" s="341"/>
      <c r="K1609" s="341"/>
      <c r="L1609" s="118"/>
      <c r="N1609" s="193"/>
      <c r="P1609" s="193"/>
      <c r="Q1609" s="193"/>
      <c r="R1609" s="193"/>
      <c r="S1609" s="193"/>
    </row>
    <row r="1610">
      <c r="A1610" s="117"/>
      <c r="B1610" s="117"/>
      <c r="C1610" s="118"/>
      <c r="D1610" s="118"/>
      <c r="F1610" s="342"/>
      <c r="G1610" s="118"/>
      <c r="H1610" s="118"/>
      <c r="I1610" s="341"/>
      <c r="J1610" s="341"/>
      <c r="K1610" s="341"/>
      <c r="L1610" s="118"/>
      <c r="N1610" s="193"/>
      <c r="P1610" s="193"/>
      <c r="Q1610" s="193"/>
      <c r="R1610" s="193"/>
      <c r="S1610" s="193"/>
    </row>
    <row r="1611">
      <c r="A1611" s="117"/>
      <c r="B1611" s="117"/>
      <c r="C1611" s="118"/>
      <c r="D1611" s="118"/>
      <c r="F1611" s="342"/>
      <c r="G1611" s="118"/>
      <c r="H1611" s="118"/>
      <c r="I1611" s="341"/>
      <c r="J1611" s="341"/>
      <c r="K1611" s="341"/>
      <c r="L1611" s="118"/>
      <c r="N1611" s="193"/>
      <c r="P1611" s="193"/>
      <c r="Q1611" s="193"/>
      <c r="R1611" s="193"/>
      <c r="S1611" s="193"/>
    </row>
    <row r="1612">
      <c r="A1612" s="117"/>
      <c r="B1612" s="117"/>
      <c r="C1612" s="118"/>
      <c r="D1612" s="118"/>
      <c r="F1612" s="342"/>
      <c r="G1612" s="118"/>
      <c r="H1612" s="118"/>
      <c r="I1612" s="341"/>
      <c r="J1612" s="341"/>
      <c r="K1612" s="341"/>
      <c r="L1612" s="118"/>
      <c r="N1612" s="193"/>
      <c r="P1612" s="193"/>
      <c r="Q1612" s="193"/>
      <c r="R1612" s="193"/>
      <c r="S1612" s="193"/>
    </row>
    <row r="1613">
      <c r="A1613" s="117"/>
      <c r="B1613" s="117"/>
      <c r="C1613" s="118"/>
      <c r="D1613" s="118"/>
      <c r="F1613" s="342"/>
      <c r="G1613" s="118"/>
      <c r="H1613" s="118"/>
      <c r="I1613" s="341"/>
      <c r="J1613" s="341"/>
      <c r="K1613" s="341"/>
      <c r="L1613" s="118"/>
      <c r="N1613" s="193"/>
      <c r="P1613" s="193"/>
      <c r="Q1613" s="193"/>
      <c r="R1613" s="193"/>
      <c r="S1613" s="193"/>
    </row>
    <row r="1614">
      <c r="A1614" s="117"/>
      <c r="B1614" s="117"/>
      <c r="C1614" s="118"/>
      <c r="D1614" s="118"/>
      <c r="F1614" s="342"/>
      <c r="G1614" s="118"/>
      <c r="H1614" s="118"/>
      <c r="I1614" s="341"/>
      <c r="J1614" s="341"/>
      <c r="K1614" s="341"/>
      <c r="L1614" s="118"/>
      <c r="N1614" s="193"/>
      <c r="P1614" s="193"/>
      <c r="Q1614" s="193"/>
      <c r="R1614" s="193"/>
      <c r="S1614" s="193"/>
    </row>
    <row r="1615">
      <c r="A1615" s="117"/>
      <c r="B1615" s="117"/>
      <c r="C1615" s="118"/>
      <c r="D1615" s="118"/>
      <c r="F1615" s="342"/>
      <c r="G1615" s="118"/>
      <c r="H1615" s="118"/>
      <c r="I1615" s="341"/>
      <c r="J1615" s="341"/>
      <c r="K1615" s="341"/>
      <c r="L1615" s="118"/>
      <c r="N1615" s="193"/>
      <c r="P1615" s="193"/>
      <c r="Q1615" s="193"/>
      <c r="R1615" s="193"/>
      <c r="S1615" s="193"/>
    </row>
    <row r="1616">
      <c r="A1616" s="117"/>
      <c r="B1616" s="117"/>
      <c r="C1616" s="118"/>
      <c r="D1616" s="118"/>
      <c r="F1616" s="342"/>
      <c r="G1616" s="118"/>
      <c r="H1616" s="118"/>
      <c r="I1616" s="341"/>
      <c r="J1616" s="341"/>
      <c r="K1616" s="341"/>
      <c r="L1616" s="118"/>
      <c r="N1616" s="193"/>
      <c r="P1616" s="193"/>
      <c r="Q1616" s="193"/>
      <c r="R1616" s="193"/>
      <c r="S1616" s="193"/>
    </row>
    <row r="1617">
      <c r="A1617" s="117"/>
      <c r="B1617" s="117"/>
      <c r="C1617" s="118"/>
      <c r="D1617" s="118"/>
      <c r="F1617" s="342"/>
      <c r="G1617" s="118"/>
      <c r="H1617" s="118"/>
      <c r="I1617" s="341"/>
      <c r="J1617" s="341"/>
      <c r="K1617" s="341"/>
      <c r="L1617" s="118"/>
      <c r="N1617" s="193"/>
      <c r="P1617" s="193"/>
      <c r="Q1617" s="193"/>
      <c r="R1617" s="193"/>
      <c r="S1617" s="193"/>
    </row>
    <row r="1618">
      <c r="A1618" s="117"/>
      <c r="B1618" s="117"/>
      <c r="C1618" s="118"/>
      <c r="D1618" s="118"/>
      <c r="F1618" s="342"/>
      <c r="G1618" s="118"/>
      <c r="H1618" s="118"/>
      <c r="I1618" s="341"/>
      <c r="J1618" s="341"/>
      <c r="K1618" s="341"/>
      <c r="L1618" s="118"/>
      <c r="N1618" s="193"/>
      <c r="P1618" s="193"/>
      <c r="Q1618" s="193"/>
      <c r="R1618" s="193"/>
      <c r="S1618" s="193"/>
    </row>
    <row r="1619">
      <c r="A1619" s="117"/>
      <c r="B1619" s="117"/>
      <c r="C1619" s="118"/>
      <c r="D1619" s="118"/>
      <c r="F1619" s="342"/>
      <c r="G1619" s="118"/>
      <c r="H1619" s="118"/>
      <c r="I1619" s="341"/>
      <c r="J1619" s="341"/>
      <c r="K1619" s="341"/>
      <c r="L1619" s="118"/>
      <c r="N1619" s="193"/>
      <c r="P1619" s="193"/>
      <c r="Q1619" s="193"/>
      <c r="R1619" s="193"/>
      <c r="S1619" s="193"/>
    </row>
    <row r="1620">
      <c r="A1620" s="117"/>
      <c r="B1620" s="117"/>
      <c r="C1620" s="118"/>
      <c r="D1620" s="118"/>
      <c r="F1620" s="342"/>
      <c r="G1620" s="118"/>
      <c r="H1620" s="118"/>
      <c r="I1620" s="341"/>
      <c r="J1620" s="341"/>
      <c r="K1620" s="341"/>
      <c r="L1620" s="118"/>
      <c r="N1620" s="193"/>
      <c r="P1620" s="193"/>
      <c r="Q1620" s="193"/>
      <c r="R1620" s="193"/>
      <c r="S1620" s="193"/>
    </row>
    <row r="1621">
      <c r="A1621" s="117"/>
      <c r="B1621" s="117"/>
      <c r="C1621" s="118"/>
      <c r="D1621" s="118"/>
      <c r="F1621" s="342"/>
      <c r="G1621" s="118"/>
      <c r="H1621" s="118"/>
      <c r="I1621" s="341"/>
      <c r="J1621" s="341"/>
      <c r="K1621" s="341"/>
      <c r="L1621" s="118"/>
      <c r="N1621" s="193"/>
      <c r="P1621" s="193"/>
      <c r="Q1621" s="193"/>
      <c r="R1621" s="193"/>
      <c r="S1621" s="193"/>
    </row>
    <row r="1622">
      <c r="A1622" s="117"/>
      <c r="B1622" s="117"/>
      <c r="C1622" s="118"/>
      <c r="D1622" s="118"/>
      <c r="F1622" s="342"/>
      <c r="G1622" s="118"/>
      <c r="H1622" s="118"/>
      <c r="I1622" s="341"/>
      <c r="J1622" s="341"/>
      <c r="K1622" s="341"/>
      <c r="L1622" s="118"/>
      <c r="N1622" s="193"/>
      <c r="P1622" s="193"/>
      <c r="Q1622" s="193"/>
      <c r="R1622" s="193"/>
      <c r="S1622" s="193"/>
    </row>
    <row r="1623">
      <c r="A1623" s="117"/>
      <c r="B1623" s="117"/>
      <c r="C1623" s="118"/>
      <c r="D1623" s="118"/>
      <c r="F1623" s="342"/>
      <c r="G1623" s="118"/>
      <c r="H1623" s="118"/>
      <c r="I1623" s="341"/>
      <c r="J1623" s="341"/>
      <c r="K1623" s="341"/>
      <c r="L1623" s="118"/>
      <c r="N1623" s="193"/>
      <c r="P1623" s="193"/>
      <c r="Q1623" s="193"/>
      <c r="R1623" s="193"/>
      <c r="S1623" s="193"/>
    </row>
    <row r="1624">
      <c r="A1624" s="117"/>
      <c r="B1624" s="117"/>
      <c r="C1624" s="118"/>
      <c r="D1624" s="118"/>
      <c r="F1624" s="342"/>
      <c r="G1624" s="118"/>
      <c r="H1624" s="118"/>
      <c r="I1624" s="341"/>
      <c r="J1624" s="341"/>
      <c r="K1624" s="341"/>
      <c r="L1624" s="118"/>
      <c r="N1624" s="193"/>
      <c r="P1624" s="193"/>
      <c r="Q1624" s="193"/>
      <c r="R1624" s="193"/>
      <c r="S1624" s="193"/>
    </row>
    <row r="1625">
      <c r="A1625" s="117"/>
      <c r="B1625" s="117"/>
      <c r="C1625" s="118"/>
      <c r="D1625" s="118"/>
      <c r="F1625" s="342"/>
      <c r="G1625" s="118"/>
      <c r="H1625" s="118"/>
      <c r="I1625" s="341"/>
      <c r="J1625" s="341"/>
      <c r="K1625" s="341"/>
      <c r="L1625" s="118"/>
      <c r="N1625" s="193"/>
      <c r="P1625" s="193"/>
      <c r="Q1625" s="193"/>
      <c r="R1625" s="193"/>
      <c r="S1625" s="193"/>
    </row>
    <row r="1626">
      <c r="A1626" s="117"/>
      <c r="B1626" s="117"/>
      <c r="C1626" s="118"/>
      <c r="D1626" s="118"/>
      <c r="F1626" s="342"/>
      <c r="G1626" s="118"/>
      <c r="H1626" s="118"/>
      <c r="I1626" s="341"/>
      <c r="J1626" s="341"/>
      <c r="K1626" s="341"/>
      <c r="L1626" s="118"/>
      <c r="N1626" s="193"/>
      <c r="P1626" s="193"/>
      <c r="Q1626" s="193"/>
      <c r="R1626" s="193"/>
      <c r="S1626" s="193"/>
    </row>
    <row r="1627">
      <c r="A1627" s="117"/>
      <c r="B1627" s="117"/>
      <c r="C1627" s="118"/>
      <c r="D1627" s="118"/>
      <c r="F1627" s="342"/>
      <c r="G1627" s="118"/>
      <c r="H1627" s="118"/>
      <c r="I1627" s="341"/>
      <c r="J1627" s="341"/>
      <c r="K1627" s="341"/>
      <c r="L1627" s="118"/>
      <c r="N1627" s="193"/>
      <c r="P1627" s="193"/>
      <c r="Q1627" s="193"/>
      <c r="R1627" s="193"/>
      <c r="S1627" s="193"/>
    </row>
    <row r="1628">
      <c r="A1628" s="117"/>
      <c r="B1628" s="117"/>
      <c r="C1628" s="118"/>
      <c r="D1628" s="118"/>
      <c r="F1628" s="342"/>
      <c r="G1628" s="118"/>
      <c r="H1628" s="118"/>
      <c r="I1628" s="341"/>
      <c r="J1628" s="341"/>
      <c r="K1628" s="341"/>
      <c r="L1628" s="118"/>
      <c r="N1628" s="193"/>
      <c r="P1628" s="193"/>
      <c r="Q1628" s="193"/>
      <c r="R1628" s="193"/>
      <c r="S1628" s="193"/>
    </row>
    <row r="1629">
      <c r="A1629" s="117"/>
      <c r="B1629" s="117"/>
      <c r="C1629" s="118"/>
      <c r="D1629" s="118"/>
      <c r="F1629" s="342"/>
      <c r="G1629" s="118"/>
      <c r="H1629" s="118"/>
      <c r="I1629" s="341"/>
      <c r="J1629" s="341"/>
      <c r="K1629" s="341"/>
      <c r="L1629" s="118"/>
      <c r="N1629" s="193"/>
      <c r="P1629" s="193"/>
      <c r="Q1629" s="193"/>
      <c r="R1629" s="193"/>
      <c r="S1629" s="193"/>
    </row>
    <row r="1630">
      <c r="A1630" s="117"/>
      <c r="B1630" s="117"/>
      <c r="C1630" s="118"/>
      <c r="D1630" s="118"/>
      <c r="F1630" s="342"/>
      <c r="G1630" s="118"/>
      <c r="H1630" s="118"/>
      <c r="I1630" s="341"/>
      <c r="J1630" s="341"/>
      <c r="K1630" s="341"/>
      <c r="L1630" s="118"/>
      <c r="N1630" s="193"/>
      <c r="P1630" s="193"/>
      <c r="Q1630" s="193"/>
      <c r="R1630" s="193"/>
      <c r="S1630" s="193"/>
    </row>
    <row r="1631">
      <c r="A1631" s="117"/>
      <c r="B1631" s="117"/>
      <c r="C1631" s="118"/>
      <c r="D1631" s="118"/>
      <c r="F1631" s="342"/>
      <c r="G1631" s="118"/>
      <c r="H1631" s="118"/>
      <c r="I1631" s="341"/>
      <c r="J1631" s="341"/>
      <c r="K1631" s="341"/>
      <c r="L1631" s="118"/>
      <c r="N1631" s="193"/>
      <c r="P1631" s="193"/>
      <c r="Q1631" s="193"/>
      <c r="R1631" s="193"/>
      <c r="S1631" s="193"/>
    </row>
    <row r="1632">
      <c r="A1632" s="117"/>
      <c r="B1632" s="117"/>
      <c r="C1632" s="118"/>
      <c r="D1632" s="118"/>
      <c r="F1632" s="342"/>
      <c r="G1632" s="118"/>
      <c r="H1632" s="118"/>
      <c r="I1632" s="341"/>
      <c r="J1632" s="341"/>
      <c r="K1632" s="341"/>
      <c r="L1632" s="118"/>
      <c r="N1632" s="193"/>
      <c r="P1632" s="193"/>
      <c r="Q1632" s="193"/>
      <c r="R1632" s="193"/>
      <c r="S1632" s="193"/>
    </row>
    <row r="1633">
      <c r="A1633" s="117"/>
      <c r="B1633" s="117"/>
      <c r="C1633" s="118"/>
      <c r="D1633" s="118"/>
      <c r="F1633" s="342"/>
      <c r="G1633" s="118"/>
      <c r="H1633" s="118"/>
      <c r="I1633" s="341"/>
      <c r="J1633" s="341"/>
      <c r="K1633" s="341"/>
      <c r="L1633" s="118"/>
      <c r="N1633" s="193"/>
      <c r="P1633" s="193"/>
      <c r="Q1633" s="193"/>
      <c r="R1633" s="193"/>
      <c r="S1633" s="193"/>
    </row>
    <row r="1634">
      <c r="A1634" s="117"/>
      <c r="B1634" s="117"/>
      <c r="C1634" s="118"/>
      <c r="D1634" s="118"/>
      <c r="F1634" s="342"/>
      <c r="G1634" s="118"/>
      <c r="H1634" s="118"/>
      <c r="I1634" s="341"/>
      <c r="J1634" s="341"/>
      <c r="K1634" s="341"/>
      <c r="L1634" s="118"/>
      <c r="N1634" s="193"/>
      <c r="P1634" s="193"/>
      <c r="Q1634" s="193"/>
      <c r="R1634" s="193"/>
      <c r="S1634" s="193"/>
    </row>
    <row r="1635">
      <c r="A1635" s="117"/>
      <c r="B1635" s="117"/>
      <c r="C1635" s="118"/>
      <c r="D1635" s="118"/>
      <c r="F1635" s="342"/>
      <c r="G1635" s="118"/>
      <c r="H1635" s="118"/>
      <c r="I1635" s="341"/>
      <c r="J1635" s="341"/>
      <c r="K1635" s="341"/>
      <c r="L1635" s="118"/>
      <c r="N1635" s="193"/>
      <c r="P1635" s="193"/>
      <c r="Q1635" s="193"/>
      <c r="R1635" s="193"/>
      <c r="S1635" s="193"/>
    </row>
    <row r="1636">
      <c r="A1636" s="117"/>
      <c r="B1636" s="117"/>
      <c r="C1636" s="118"/>
      <c r="D1636" s="118"/>
      <c r="F1636" s="342"/>
      <c r="G1636" s="118"/>
      <c r="H1636" s="118"/>
      <c r="I1636" s="341"/>
      <c r="J1636" s="341"/>
      <c r="K1636" s="341"/>
      <c r="L1636" s="118"/>
      <c r="N1636" s="193"/>
      <c r="P1636" s="193"/>
      <c r="Q1636" s="193"/>
      <c r="R1636" s="193"/>
      <c r="S1636" s="193"/>
    </row>
    <row r="1637">
      <c r="A1637" s="117"/>
      <c r="B1637" s="117"/>
      <c r="C1637" s="118"/>
      <c r="D1637" s="118"/>
      <c r="F1637" s="342"/>
      <c r="G1637" s="118"/>
      <c r="H1637" s="118"/>
      <c r="I1637" s="341"/>
      <c r="J1637" s="341"/>
      <c r="K1637" s="341"/>
      <c r="L1637" s="118"/>
      <c r="N1637" s="193"/>
      <c r="P1637" s="193"/>
      <c r="Q1637" s="193"/>
      <c r="R1637" s="193"/>
      <c r="S1637" s="193"/>
    </row>
    <row r="1638">
      <c r="A1638" s="117"/>
      <c r="B1638" s="117"/>
      <c r="C1638" s="118"/>
      <c r="D1638" s="118"/>
      <c r="F1638" s="342"/>
      <c r="G1638" s="118"/>
      <c r="H1638" s="118"/>
      <c r="I1638" s="341"/>
      <c r="J1638" s="341"/>
      <c r="K1638" s="341"/>
      <c r="L1638" s="118"/>
      <c r="N1638" s="193"/>
      <c r="P1638" s="193"/>
      <c r="Q1638" s="193"/>
      <c r="R1638" s="193"/>
      <c r="S1638" s="193"/>
    </row>
    <row r="1639">
      <c r="A1639" s="117"/>
      <c r="B1639" s="117"/>
      <c r="C1639" s="118"/>
      <c r="D1639" s="118"/>
      <c r="F1639" s="342"/>
      <c r="G1639" s="118"/>
      <c r="H1639" s="118"/>
      <c r="I1639" s="341"/>
      <c r="J1639" s="341"/>
      <c r="K1639" s="341"/>
      <c r="L1639" s="118"/>
      <c r="N1639" s="193"/>
      <c r="P1639" s="193"/>
      <c r="Q1639" s="193"/>
      <c r="R1639" s="193"/>
      <c r="S1639" s="193"/>
    </row>
    <row r="1640">
      <c r="A1640" s="117"/>
      <c r="B1640" s="117"/>
      <c r="C1640" s="118"/>
      <c r="D1640" s="118"/>
      <c r="F1640" s="342"/>
      <c r="G1640" s="118"/>
      <c r="H1640" s="118"/>
      <c r="I1640" s="341"/>
      <c r="J1640" s="341"/>
      <c r="K1640" s="341"/>
      <c r="L1640" s="118"/>
      <c r="N1640" s="193"/>
      <c r="P1640" s="193"/>
      <c r="Q1640" s="193"/>
      <c r="R1640" s="193"/>
      <c r="S1640" s="193"/>
    </row>
    <row r="1641">
      <c r="A1641" s="117"/>
      <c r="B1641" s="117"/>
      <c r="C1641" s="118"/>
      <c r="D1641" s="118"/>
      <c r="F1641" s="342"/>
      <c r="G1641" s="118"/>
      <c r="H1641" s="118"/>
      <c r="I1641" s="341"/>
      <c r="J1641" s="341"/>
      <c r="K1641" s="341"/>
      <c r="L1641" s="118"/>
      <c r="N1641" s="193"/>
      <c r="P1641" s="193"/>
      <c r="Q1641" s="193"/>
      <c r="R1641" s="193"/>
      <c r="S1641" s="193"/>
    </row>
    <row r="1642">
      <c r="A1642" s="117"/>
      <c r="B1642" s="117"/>
      <c r="C1642" s="118"/>
      <c r="D1642" s="118"/>
      <c r="F1642" s="342"/>
      <c r="G1642" s="118"/>
      <c r="H1642" s="118"/>
      <c r="I1642" s="341"/>
      <c r="J1642" s="341"/>
      <c r="K1642" s="341"/>
      <c r="L1642" s="118"/>
      <c r="N1642" s="193"/>
      <c r="P1642" s="193"/>
      <c r="Q1642" s="193"/>
      <c r="R1642" s="193"/>
      <c r="S1642" s="193"/>
    </row>
    <row r="1643">
      <c r="A1643" s="117"/>
      <c r="B1643" s="117"/>
      <c r="C1643" s="118"/>
      <c r="D1643" s="118"/>
      <c r="F1643" s="342"/>
      <c r="G1643" s="118"/>
      <c r="H1643" s="118"/>
      <c r="I1643" s="341"/>
      <c r="J1643" s="341"/>
      <c r="K1643" s="341"/>
      <c r="L1643" s="118"/>
      <c r="N1643" s="193"/>
      <c r="P1643" s="193"/>
      <c r="Q1643" s="193"/>
      <c r="R1643" s="193"/>
      <c r="S1643" s="193"/>
    </row>
    <row r="1644">
      <c r="A1644" s="117"/>
      <c r="B1644" s="117"/>
      <c r="C1644" s="118"/>
      <c r="D1644" s="118"/>
      <c r="F1644" s="342"/>
      <c r="G1644" s="118"/>
      <c r="H1644" s="118"/>
      <c r="I1644" s="341"/>
      <c r="J1644" s="341"/>
      <c r="K1644" s="341"/>
      <c r="L1644" s="118"/>
      <c r="N1644" s="193"/>
      <c r="P1644" s="193"/>
      <c r="Q1644" s="193"/>
      <c r="R1644" s="193"/>
      <c r="S1644" s="193"/>
    </row>
    <row r="1645">
      <c r="A1645" s="117"/>
      <c r="B1645" s="117"/>
      <c r="C1645" s="118"/>
      <c r="D1645" s="118"/>
      <c r="F1645" s="342"/>
      <c r="G1645" s="118"/>
      <c r="H1645" s="118"/>
      <c r="I1645" s="341"/>
      <c r="J1645" s="341"/>
      <c r="K1645" s="341"/>
      <c r="L1645" s="118"/>
      <c r="N1645" s="193"/>
      <c r="P1645" s="193"/>
      <c r="Q1645" s="193"/>
      <c r="R1645" s="193"/>
      <c r="S1645" s="193"/>
    </row>
    <row r="1646">
      <c r="A1646" s="117"/>
      <c r="B1646" s="117"/>
      <c r="C1646" s="118"/>
      <c r="D1646" s="118"/>
      <c r="F1646" s="342"/>
      <c r="G1646" s="118"/>
      <c r="H1646" s="118"/>
      <c r="I1646" s="341"/>
      <c r="J1646" s="341"/>
      <c r="K1646" s="341"/>
      <c r="L1646" s="118"/>
      <c r="N1646" s="193"/>
      <c r="P1646" s="193"/>
      <c r="Q1646" s="193"/>
      <c r="R1646" s="193"/>
      <c r="S1646" s="193"/>
    </row>
    <row r="1647">
      <c r="A1647" s="117"/>
      <c r="B1647" s="117"/>
      <c r="C1647" s="118"/>
      <c r="D1647" s="118"/>
      <c r="F1647" s="342"/>
      <c r="G1647" s="118"/>
      <c r="H1647" s="118"/>
      <c r="I1647" s="341"/>
      <c r="J1647" s="341"/>
      <c r="K1647" s="341"/>
      <c r="L1647" s="118"/>
      <c r="N1647" s="193"/>
      <c r="P1647" s="193"/>
      <c r="Q1647" s="193"/>
      <c r="R1647" s="193"/>
      <c r="S1647" s="193"/>
    </row>
    <row r="1648">
      <c r="A1648" s="117"/>
      <c r="B1648" s="117"/>
      <c r="C1648" s="118"/>
      <c r="D1648" s="118"/>
      <c r="F1648" s="342"/>
      <c r="G1648" s="118"/>
      <c r="H1648" s="118"/>
      <c r="I1648" s="341"/>
      <c r="J1648" s="341"/>
      <c r="K1648" s="341"/>
      <c r="L1648" s="118"/>
      <c r="N1648" s="193"/>
      <c r="P1648" s="193"/>
      <c r="Q1648" s="193"/>
      <c r="R1648" s="193"/>
      <c r="S1648" s="193"/>
    </row>
    <row r="1649">
      <c r="A1649" s="117"/>
      <c r="B1649" s="117"/>
      <c r="C1649" s="118"/>
      <c r="D1649" s="118"/>
      <c r="F1649" s="342"/>
      <c r="G1649" s="118"/>
      <c r="H1649" s="118"/>
      <c r="I1649" s="341"/>
      <c r="J1649" s="341"/>
      <c r="K1649" s="341"/>
      <c r="L1649" s="118"/>
      <c r="N1649" s="193"/>
      <c r="P1649" s="193"/>
      <c r="Q1649" s="193"/>
      <c r="R1649" s="193"/>
      <c r="S1649" s="193"/>
    </row>
    <row r="1650">
      <c r="A1650" s="117"/>
      <c r="B1650" s="117"/>
      <c r="C1650" s="118"/>
      <c r="D1650" s="118"/>
      <c r="F1650" s="342"/>
      <c r="G1650" s="118"/>
      <c r="H1650" s="118"/>
      <c r="I1650" s="341"/>
      <c r="J1650" s="341"/>
      <c r="K1650" s="341"/>
      <c r="L1650" s="118"/>
      <c r="N1650" s="193"/>
      <c r="P1650" s="193"/>
      <c r="Q1650" s="193"/>
      <c r="R1650" s="193"/>
      <c r="S1650" s="193"/>
    </row>
    <row r="1651">
      <c r="A1651" s="117"/>
      <c r="B1651" s="117"/>
      <c r="C1651" s="118"/>
      <c r="D1651" s="118"/>
      <c r="F1651" s="342"/>
      <c r="G1651" s="118"/>
      <c r="H1651" s="118"/>
      <c r="I1651" s="341"/>
      <c r="J1651" s="341"/>
      <c r="K1651" s="341"/>
      <c r="L1651" s="118"/>
      <c r="N1651" s="193"/>
      <c r="P1651" s="193"/>
      <c r="Q1651" s="193"/>
      <c r="R1651" s="193"/>
      <c r="S1651" s="193"/>
    </row>
    <row r="1652">
      <c r="A1652" s="117"/>
      <c r="B1652" s="117"/>
      <c r="C1652" s="118"/>
      <c r="D1652" s="118"/>
      <c r="F1652" s="342"/>
      <c r="G1652" s="118"/>
      <c r="H1652" s="118"/>
      <c r="I1652" s="341"/>
      <c r="J1652" s="341"/>
      <c r="K1652" s="341"/>
      <c r="L1652" s="118"/>
      <c r="N1652" s="193"/>
      <c r="P1652" s="193"/>
      <c r="Q1652" s="193"/>
      <c r="R1652" s="193"/>
      <c r="S1652" s="193"/>
    </row>
    <row r="1653">
      <c r="A1653" s="117"/>
      <c r="B1653" s="117"/>
      <c r="C1653" s="118"/>
      <c r="D1653" s="118"/>
      <c r="F1653" s="342"/>
      <c r="G1653" s="118"/>
      <c r="H1653" s="118"/>
      <c r="I1653" s="341"/>
      <c r="J1653" s="341"/>
      <c r="K1653" s="341"/>
      <c r="L1653" s="118"/>
      <c r="N1653" s="193"/>
      <c r="P1653" s="193"/>
      <c r="Q1653" s="193"/>
      <c r="R1653" s="193"/>
      <c r="S1653" s="193"/>
    </row>
    <row r="1654">
      <c r="A1654" s="117"/>
      <c r="B1654" s="117"/>
      <c r="C1654" s="118"/>
      <c r="D1654" s="118"/>
      <c r="F1654" s="342"/>
      <c r="G1654" s="118"/>
      <c r="H1654" s="118"/>
      <c r="I1654" s="341"/>
      <c r="J1654" s="341"/>
      <c r="K1654" s="341"/>
      <c r="L1654" s="118"/>
      <c r="N1654" s="193"/>
      <c r="P1654" s="193"/>
      <c r="Q1654" s="193"/>
      <c r="R1654" s="193"/>
      <c r="S1654" s="193"/>
    </row>
    <row r="1655">
      <c r="A1655" s="117"/>
      <c r="B1655" s="117"/>
      <c r="C1655" s="118"/>
      <c r="D1655" s="118"/>
      <c r="F1655" s="342"/>
      <c r="G1655" s="118"/>
      <c r="H1655" s="118"/>
      <c r="I1655" s="341"/>
      <c r="J1655" s="341"/>
      <c r="K1655" s="341"/>
      <c r="L1655" s="118"/>
      <c r="N1655" s="193"/>
      <c r="P1655" s="193"/>
      <c r="Q1655" s="193"/>
      <c r="R1655" s="193"/>
      <c r="S1655" s="193"/>
    </row>
    <row r="1656">
      <c r="A1656" s="117"/>
      <c r="B1656" s="117"/>
      <c r="C1656" s="118"/>
      <c r="D1656" s="118"/>
      <c r="F1656" s="342"/>
      <c r="G1656" s="118"/>
      <c r="H1656" s="118"/>
      <c r="I1656" s="341"/>
      <c r="J1656" s="341"/>
      <c r="K1656" s="341"/>
      <c r="L1656" s="118"/>
      <c r="N1656" s="193"/>
      <c r="P1656" s="193"/>
      <c r="Q1656" s="193"/>
      <c r="R1656" s="193"/>
      <c r="S1656" s="193"/>
    </row>
    <row r="1657">
      <c r="A1657" s="117"/>
      <c r="B1657" s="117"/>
      <c r="C1657" s="118"/>
      <c r="D1657" s="118"/>
      <c r="F1657" s="342"/>
      <c r="G1657" s="118"/>
      <c r="H1657" s="118"/>
      <c r="I1657" s="341"/>
      <c r="J1657" s="341"/>
      <c r="K1657" s="341"/>
      <c r="L1657" s="118"/>
      <c r="N1657" s="193"/>
      <c r="P1657" s="193"/>
      <c r="Q1657" s="193"/>
      <c r="R1657" s="193"/>
      <c r="S1657" s="193"/>
    </row>
    <row r="1658">
      <c r="A1658" s="117"/>
      <c r="B1658" s="117"/>
      <c r="C1658" s="118"/>
      <c r="D1658" s="118"/>
      <c r="F1658" s="342"/>
      <c r="G1658" s="118"/>
      <c r="H1658" s="118"/>
      <c r="I1658" s="341"/>
      <c r="J1658" s="341"/>
      <c r="K1658" s="341"/>
      <c r="L1658" s="118"/>
      <c r="N1658" s="193"/>
      <c r="P1658" s="193"/>
      <c r="Q1658" s="193"/>
      <c r="R1658" s="193"/>
      <c r="S1658" s="193"/>
    </row>
    <row r="1659">
      <c r="A1659" s="117"/>
      <c r="B1659" s="117"/>
      <c r="C1659" s="118"/>
      <c r="D1659" s="118"/>
      <c r="F1659" s="342"/>
      <c r="G1659" s="118"/>
      <c r="H1659" s="118"/>
      <c r="I1659" s="341"/>
      <c r="J1659" s="341"/>
      <c r="K1659" s="341"/>
      <c r="L1659" s="118"/>
      <c r="N1659" s="193"/>
      <c r="P1659" s="193"/>
      <c r="Q1659" s="193"/>
      <c r="R1659" s="193"/>
      <c r="S1659" s="193"/>
    </row>
    <row r="1660">
      <c r="A1660" s="117"/>
      <c r="B1660" s="117"/>
      <c r="C1660" s="118"/>
      <c r="D1660" s="118"/>
      <c r="F1660" s="342"/>
      <c r="G1660" s="118"/>
      <c r="H1660" s="118"/>
      <c r="I1660" s="341"/>
      <c r="J1660" s="341"/>
      <c r="K1660" s="341"/>
      <c r="L1660" s="118"/>
      <c r="N1660" s="193"/>
      <c r="P1660" s="193"/>
      <c r="Q1660" s="193"/>
      <c r="R1660" s="193"/>
      <c r="S1660" s="193"/>
    </row>
    <row r="1661">
      <c r="A1661" s="117"/>
      <c r="B1661" s="117"/>
      <c r="C1661" s="118"/>
      <c r="D1661" s="118"/>
      <c r="F1661" s="342"/>
      <c r="G1661" s="118"/>
      <c r="H1661" s="118"/>
      <c r="I1661" s="341"/>
      <c r="J1661" s="341"/>
      <c r="K1661" s="341"/>
      <c r="L1661" s="118"/>
      <c r="N1661" s="193"/>
      <c r="P1661" s="193"/>
      <c r="Q1661" s="193"/>
      <c r="R1661" s="193"/>
      <c r="S1661" s="193"/>
    </row>
    <row r="1662">
      <c r="A1662" s="117"/>
      <c r="B1662" s="117"/>
      <c r="C1662" s="118"/>
      <c r="D1662" s="118"/>
      <c r="F1662" s="342"/>
      <c r="G1662" s="118"/>
      <c r="H1662" s="118"/>
      <c r="I1662" s="341"/>
      <c r="J1662" s="341"/>
      <c r="K1662" s="341"/>
      <c r="L1662" s="118"/>
      <c r="N1662" s="193"/>
      <c r="P1662" s="193"/>
      <c r="Q1662" s="193"/>
      <c r="R1662" s="193"/>
      <c r="S1662" s="193"/>
    </row>
    <row r="1663">
      <c r="A1663" s="117"/>
      <c r="B1663" s="117"/>
      <c r="C1663" s="118"/>
      <c r="D1663" s="118"/>
      <c r="F1663" s="342"/>
      <c r="G1663" s="118"/>
      <c r="H1663" s="118"/>
      <c r="I1663" s="341"/>
      <c r="J1663" s="341"/>
      <c r="K1663" s="341"/>
      <c r="L1663" s="118"/>
      <c r="N1663" s="193"/>
      <c r="P1663" s="193"/>
      <c r="Q1663" s="193"/>
      <c r="R1663" s="193"/>
      <c r="S1663" s="193"/>
    </row>
    <row r="1664">
      <c r="A1664" s="117"/>
      <c r="B1664" s="117"/>
      <c r="C1664" s="118"/>
      <c r="D1664" s="118"/>
      <c r="F1664" s="342"/>
      <c r="G1664" s="118"/>
      <c r="H1664" s="118"/>
      <c r="I1664" s="341"/>
      <c r="J1664" s="341"/>
      <c r="K1664" s="341"/>
      <c r="L1664" s="118"/>
      <c r="N1664" s="193"/>
      <c r="P1664" s="193"/>
      <c r="Q1664" s="193"/>
      <c r="R1664" s="193"/>
      <c r="S1664" s="193"/>
    </row>
    <row r="1665">
      <c r="A1665" s="117"/>
      <c r="B1665" s="117"/>
      <c r="C1665" s="118"/>
      <c r="D1665" s="118"/>
      <c r="F1665" s="342"/>
      <c r="G1665" s="118"/>
      <c r="H1665" s="118"/>
      <c r="I1665" s="341"/>
      <c r="J1665" s="341"/>
      <c r="K1665" s="341"/>
      <c r="L1665" s="118"/>
      <c r="N1665" s="193"/>
      <c r="P1665" s="193"/>
      <c r="Q1665" s="193"/>
      <c r="R1665" s="193"/>
      <c r="S1665" s="193"/>
    </row>
    <row r="1666">
      <c r="A1666" s="117"/>
      <c r="B1666" s="117"/>
      <c r="C1666" s="118"/>
      <c r="D1666" s="118"/>
      <c r="F1666" s="342"/>
      <c r="G1666" s="118"/>
      <c r="H1666" s="118"/>
      <c r="I1666" s="341"/>
      <c r="J1666" s="341"/>
      <c r="K1666" s="341"/>
      <c r="L1666" s="118"/>
      <c r="N1666" s="193"/>
      <c r="P1666" s="193"/>
      <c r="Q1666" s="193"/>
      <c r="R1666" s="193"/>
      <c r="S1666" s="193"/>
    </row>
  </sheetData>
  <conditionalFormatting sqref="C4:C5 E4:E5 H4:H5 M4:M5 N4 O4:Z5">
    <cfRule type="notContainsBlanks" dxfId="0" priority="1">
      <formula>LEN(TRIM(C4))&gt;0</formula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15.13"/>
    <col customWidth="1" min="3" max="3" width="48.88"/>
    <col customWidth="1" min="4" max="4" width="22.75"/>
    <col customWidth="1" min="5" max="5" width="25.38"/>
    <col customWidth="1" min="6" max="6" width="21.13"/>
    <col customWidth="1" min="7" max="7" width="11.38"/>
    <col customWidth="1" hidden="1" min="8" max="11" width="29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187" t="s">
        <v>7173</v>
      </c>
      <c r="I1" s="187" t="s">
        <v>7173</v>
      </c>
      <c r="J1" s="187" t="s">
        <v>7173</v>
      </c>
      <c r="K1" s="187" t="s">
        <v>7173</v>
      </c>
      <c r="L1" s="2" t="s">
        <v>7178</v>
      </c>
      <c r="M1" s="2" t="s">
        <v>6144</v>
      </c>
      <c r="N1" s="2" t="s">
        <v>7179</v>
      </c>
      <c r="O1" s="2" t="s">
        <v>7180</v>
      </c>
      <c r="P1" s="2" t="s">
        <v>8</v>
      </c>
      <c r="Q1" s="2" t="s">
        <v>9</v>
      </c>
      <c r="R1" s="2" t="s">
        <v>8439</v>
      </c>
      <c r="S1" s="2" t="s">
        <v>7181</v>
      </c>
      <c r="T1" s="2" t="s">
        <v>7177</v>
      </c>
      <c r="U1" s="2" t="s">
        <v>7182</v>
      </c>
      <c r="V1" s="2" t="s">
        <v>7183</v>
      </c>
      <c r="W1" s="2" t="s">
        <v>7184</v>
      </c>
      <c r="X1" s="2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</row>
    <row r="2">
      <c r="A2" s="33" t="s">
        <v>4205</v>
      </c>
      <c r="B2" s="343" t="s">
        <v>11</v>
      </c>
      <c r="C2" s="154" t="s">
        <v>4206</v>
      </c>
      <c r="D2" s="12" t="s">
        <v>12</v>
      </c>
      <c r="E2" s="61" t="s">
        <v>12</v>
      </c>
      <c r="F2" s="121" t="s">
        <v>4207</v>
      </c>
      <c r="G2" s="118"/>
      <c r="H2" s="192" t="str">
        <f t="shared" ref="H2:K2" si="1">lower(C2)</f>
        <v>followupcenter</v>
      </c>
      <c r="I2" s="192" t="str">
        <f t="shared" si="1"/>
        <v>center</v>
      </c>
      <c r="J2" s="192" t="str">
        <f t="shared" si="1"/>
        <v>center</v>
      </c>
      <c r="K2" s="192" t="str">
        <f t="shared" si="1"/>
        <v>followup_center</v>
      </c>
      <c r="L2" s="61" t="s">
        <v>7185</v>
      </c>
      <c r="M2" s="193"/>
      <c r="N2" s="193"/>
      <c r="O2" s="193"/>
      <c r="P2" s="194" t="s">
        <v>14</v>
      </c>
      <c r="Q2" s="194" t="s">
        <v>14</v>
      </c>
      <c r="U2" s="344"/>
    </row>
    <row r="3">
      <c r="A3" s="33"/>
      <c r="B3" s="343" t="s">
        <v>11</v>
      </c>
      <c r="C3" s="154" t="s">
        <v>21</v>
      </c>
      <c r="D3" s="12" t="s">
        <v>16</v>
      </c>
      <c r="E3" s="61" t="s">
        <v>4208</v>
      </c>
      <c r="F3" s="121" t="s">
        <v>23</v>
      </c>
      <c r="G3" s="118"/>
      <c r="H3" s="192" t="str">
        <f t="shared" ref="H3:K3" si="2">lower(C3)</f>
        <v>siteid</v>
      </c>
      <c r="I3" s="192" t="str">
        <f t="shared" si="2"/>
        <v>text</v>
      </c>
      <c r="J3" s="192" t="str">
        <f t="shared" si="2"/>
        <v>site-id</v>
      </c>
      <c r="K3" s="192" t="str">
        <f t="shared" si="2"/>
        <v>site_id</v>
      </c>
      <c r="L3" s="61" t="s">
        <v>7185</v>
      </c>
      <c r="M3" s="193"/>
      <c r="N3" s="193"/>
      <c r="O3" s="193"/>
      <c r="P3" s="194" t="s">
        <v>24</v>
      </c>
      <c r="Q3" s="194" t="s">
        <v>24</v>
      </c>
    </row>
    <row r="4">
      <c r="A4" s="33"/>
      <c r="B4" s="33" t="s">
        <v>4205</v>
      </c>
      <c r="C4" s="12" t="s">
        <v>25</v>
      </c>
      <c r="D4" s="12" t="s">
        <v>26</v>
      </c>
      <c r="E4" s="61" t="s">
        <v>27</v>
      </c>
      <c r="F4" s="121" t="s">
        <v>28</v>
      </c>
      <c r="G4" s="118"/>
      <c r="H4" s="192" t="str">
        <f t="shared" ref="H4:K4" si="3">lower(C4)</f>
        <v>birthdate</v>
      </c>
      <c r="I4" s="192" t="str">
        <f t="shared" si="3"/>
        <v>date</v>
      </c>
      <c r="J4" s="192" t="str">
        <f t="shared" si="3"/>
        <v>birth date</v>
      </c>
      <c r="K4" s="192" t="str">
        <f t="shared" si="3"/>
        <v>birth_date</v>
      </c>
      <c r="L4" s="61" t="s">
        <v>7192</v>
      </c>
      <c r="M4" s="193"/>
      <c r="N4" s="193"/>
      <c r="O4" s="193"/>
      <c r="P4" s="194" t="s">
        <v>29</v>
      </c>
      <c r="Q4" s="194" t="s">
        <v>29</v>
      </c>
    </row>
    <row r="5">
      <c r="A5" s="33"/>
      <c r="B5" s="33" t="s">
        <v>4205</v>
      </c>
      <c r="C5" s="12" t="s">
        <v>4209</v>
      </c>
      <c r="D5" s="12" t="s">
        <v>26</v>
      </c>
      <c r="E5" s="61" t="s">
        <v>4210</v>
      </c>
      <c r="F5" s="121" t="s">
        <v>4211</v>
      </c>
      <c r="G5" s="118"/>
      <c r="H5" s="192" t="str">
        <f t="shared" ref="H5:K5" si="4">lower(C5)</f>
        <v>visitdate</v>
      </c>
      <c r="I5" s="192" t="str">
        <f t="shared" si="4"/>
        <v>date</v>
      </c>
      <c r="J5" s="192" t="str">
        <f t="shared" si="4"/>
        <v>visit date</v>
      </c>
      <c r="K5" s="192" t="str">
        <f t="shared" si="4"/>
        <v>visit_date</v>
      </c>
      <c r="L5" s="193"/>
      <c r="M5" s="193"/>
      <c r="N5" s="193"/>
      <c r="O5" s="193"/>
      <c r="P5" s="194" t="s">
        <v>4212</v>
      </c>
      <c r="Q5" s="194" t="s">
        <v>4212</v>
      </c>
    </row>
    <row r="6">
      <c r="A6" s="33"/>
      <c r="B6" s="33" t="s">
        <v>4205</v>
      </c>
      <c r="C6" s="118"/>
      <c r="D6" s="118"/>
      <c r="F6" s="121" t="s">
        <v>851</v>
      </c>
      <c r="G6" s="118"/>
      <c r="H6" s="192" t="str">
        <f t="shared" ref="H6:K6" si="5">lower(C6)</f>
        <v/>
      </c>
      <c r="I6" s="192" t="str">
        <f t="shared" si="5"/>
        <v/>
      </c>
      <c r="J6" s="192" t="str">
        <f t="shared" si="5"/>
        <v/>
      </c>
      <c r="K6" s="192" t="str">
        <f t="shared" si="5"/>
        <v/>
      </c>
      <c r="L6" s="193"/>
      <c r="M6" s="193"/>
      <c r="N6" s="193"/>
      <c r="O6" s="193"/>
      <c r="P6" s="194"/>
      <c r="Q6" s="193"/>
    </row>
    <row r="7">
      <c r="A7" s="33"/>
      <c r="B7" s="33" t="s">
        <v>4205</v>
      </c>
      <c r="C7" s="118"/>
      <c r="D7" s="118"/>
      <c r="F7" s="121" t="s">
        <v>851</v>
      </c>
      <c r="G7" s="118"/>
      <c r="H7" s="192" t="str">
        <f t="shared" ref="H7:K7" si="6">lower(C7)</f>
        <v/>
      </c>
      <c r="I7" s="192" t="str">
        <f t="shared" si="6"/>
        <v/>
      </c>
      <c r="J7" s="192" t="str">
        <f t="shared" si="6"/>
        <v/>
      </c>
      <c r="K7" s="192" t="str">
        <f t="shared" si="6"/>
        <v/>
      </c>
      <c r="L7" s="193"/>
      <c r="M7" s="193"/>
      <c r="N7" s="193"/>
      <c r="O7" s="193"/>
      <c r="P7" s="194"/>
      <c r="Q7" s="193"/>
    </row>
    <row r="8">
      <c r="A8" s="33"/>
      <c r="B8" s="33" t="s">
        <v>4205</v>
      </c>
      <c r="C8" s="12" t="s">
        <v>30</v>
      </c>
      <c r="D8" s="12" t="s">
        <v>31</v>
      </c>
      <c r="E8" s="61" t="s">
        <v>32</v>
      </c>
      <c r="F8" s="121" t="s">
        <v>33</v>
      </c>
      <c r="G8" s="118"/>
      <c r="H8" s="192" t="str">
        <f t="shared" ref="H8:K8" si="7">lower(C8)</f>
        <v>birthnumber</v>
      </c>
      <c r="I8" s="192" t="str">
        <f t="shared" si="7"/>
        <v>int</v>
      </c>
      <c r="J8" s="192" t="str">
        <f t="shared" si="7"/>
        <v>birth number</v>
      </c>
      <c r="K8" s="192" t="str">
        <f t="shared" si="7"/>
        <v>birth_number</v>
      </c>
      <c r="L8" s="193"/>
      <c r="M8" s="193"/>
      <c r="N8" s="193"/>
      <c r="O8" s="193"/>
      <c r="P8" s="194" t="s">
        <v>34</v>
      </c>
      <c r="Q8" s="194" t="s">
        <v>34</v>
      </c>
    </row>
    <row r="9">
      <c r="A9" s="33"/>
      <c r="B9" s="343" t="s">
        <v>11</v>
      </c>
      <c r="C9" s="12" t="s">
        <v>12</v>
      </c>
      <c r="D9" s="12" t="s">
        <v>12</v>
      </c>
      <c r="E9" s="61" t="s">
        <v>4213</v>
      </c>
      <c r="F9" s="121" t="s">
        <v>12</v>
      </c>
      <c r="G9" s="118"/>
      <c r="H9" s="192" t="str">
        <f t="shared" ref="H9:K9" si="8">lower(C9)</f>
        <v>center</v>
      </c>
      <c r="I9" s="192" t="str">
        <f t="shared" si="8"/>
        <v>center</v>
      </c>
      <c r="J9" s="192" t="str">
        <f t="shared" si="8"/>
        <v>previous center (if transferred)</v>
      </c>
      <c r="K9" s="192" t="str">
        <f t="shared" si="8"/>
        <v>center</v>
      </c>
      <c r="L9" s="61" t="s">
        <v>7185</v>
      </c>
      <c r="M9" s="193"/>
      <c r="N9" s="193"/>
      <c r="O9" s="193"/>
      <c r="P9" s="194" t="s">
        <v>4214</v>
      </c>
      <c r="Q9" s="194" t="s">
        <v>4214</v>
      </c>
    </row>
    <row r="10">
      <c r="A10" s="33"/>
      <c r="B10" s="343" t="s">
        <v>11</v>
      </c>
      <c r="C10" s="12" t="s">
        <v>15</v>
      </c>
      <c r="D10" s="12" t="s">
        <v>16</v>
      </c>
      <c r="E10" s="61" t="s">
        <v>4215</v>
      </c>
      <c r="F10" s="121" t="s">
        <v>18</v>
      </c>
      <c r="G10" s="118"/>
      <c r="H10" s="192" t="str">
        <f t="shared" ref="H10:K10" si="9">lower(C10)</f>
        <v>subjectid</v>
      </c>
      <c r="I10" s="192" t="str">
        <f t="shared" si="9"/>
        <v>text</v>
      </c>
      <c r="J10" s="192" t="str">
        <f t="shared" si="9"/>
        <v>hypothermia id</v>
      </c>
      <c r="K10" s="192" t="str">
        <f t="shared" si="9"/>
        <v>subject_id</v>
      </c>
      <c r="L10" s="61" t="s">
        <v>7187</v>
      </c>
      <c r="M10" s="193"/>
      <c r="N10" s="193"/>
      <c r="O10" s="193"/>
      <c r="P10" s="194" t="s">
        <v>19</v>
      </c>
      <c r="Q10" s="194" t="s">
        <v>19</v>
      </c>
    </row>
    <row r="11">
      <c r="A11" s="33"/>
      <c r="B11" s="343" t="s">
        <v>11</v>
      </c>
      <c r="C11" s="12" t="s">
        <v>4216</v>
      </c>
      <c r="D11" s="12" t="s">
        <v>16</v>
      </c>
      <c r="E11" s="61" t="s">
        <v>4217</v>
      </c>
      <c r="F11" s="121" t="s">
        <v>4218</v>
      </c>
      <c r="G11" s="118"/>
      <c r="H11" s="192" t="str">
        <f t="shared" ref="H11:K11" si="10">lower(C11)</f>
        <v>followupid</v>
      </c>
      <c r="I11" s="192" t="str">
        <f t="shared" si="10"/>
        <v>text</v>
      </c>
      <c r="J11" s="192" t="str">
        <f t="shared" si="10"/>
        <v>follow-up id</v>
      </c>
      <c r="K11" s="192" t="str">
        <f t="shared" si="10"/>
        <v>followup_id</v>
      </c>
      <c r="L11" s="61" t="s">
        <v>7187</v>
      </c>
      <c r="M11" s="193"/>
      <c r="N11" s="193"/>
      <c r="O11" s="193"/>
      <c r="P11" s="194" t="s">
        <v>4219</v>
      </c>
      <c r="Q11" s="194" t="s">
        <v>4219</v>
      </c>
    </row>
    <row r="12">
      <c r="A12" s="33"/>
      <c r="B12" s="33" t="s">
        <v>4205</v>
      </c>
      <c r="C12" s="12" t="s">
        <v>4220</v>
      </c>
      <c r="D12" s="12" t="s">
        <v>16</v>
      </c>
      <c r="E12" s="61"/>
      <c r="F12" s="121"/>
      <c r="G12" s="118"/>
      <c r="H12" s="192"/>
      <c r="I12" s="192"/>
      <c r="J12" s="192"/>
      <c r="K12" s="192"/>
      <c r="L12" s="193"/>
      <c r="M12" s="193"/>
      <c r="N12" s="193"/>
      <c r="O12" s="193"/>
      <c r="P12" s="194"/>
      <c r="Q12" s="194"/>
    </row>
    <row r="13">
      <c r="A13" s="33"/>
      <c r="B13" s="33"/>
      <c r="C13" s="12"/>
      <c r="D13" s="12"/>
      <c r="E13" s="61"/>
      <c r="F13" s="121"/>
      <c r="G13" s="118"/>
      <c r="H13" s="192"/>
      <c r="I13" s="192"/>
      <c r="J13" s="192"/>
      <c r="K13" s="192"/>
      <c r="L13" s="193"/>
      <c r="M13" s="193"/>
      <c r="N13" s="193"/>
      <c r="O13" s="193"/>
      <c r="P13" s="194"/>
      <c r="Q13" s="194"/>
    </row>
    <row r="14">
      <c r="A14" s="33" t="s">
        <v>4205</v>
      </c>
      <c r="B14" s="33" t="s">
        <v>4221</v>
      </c>
      <c r="C14" s="12" t="s">
        <v>4222</v>
      </c>
      <c r="D14" s="12" t="s">
        <v>26</v>
      </c>
      <c r="E14" s="61" t="s">
        <v>4223</v>
      </c>
      <c r="F14" s="121" t="s">
        <v>4224</v>
      </c>
      <c r="G14" s="118"/>
      <c r="H14" s="192" t="str">
        <f t="shared" ref="H14:K14" si="11">lower(C14)</f>
        <v>sesvisitdate</v>
      </c>
      <c r="I14" s="192" t="str">
        <f t="shared" si="11"/>
        <v>date</v>
      </c>
      <c r="J14" s="192" t="str">
        <f t="shared" si="11"/>
        <v>date of visit</v>
      </c>
      <c r="K14" s="192" t="str">
        <f t="shared" si="11"/>
        <v>ses_visit_date</v>
      </c>
      <c r="L14" s="193"/>
      <c r="M14" s="193"/>
      <c r="N14" s="193"/>
      <c r="O14" s="193"/>
      <c r="P14" s="194" t="s">
        <v>4225</v>
      </c>
      <c r="Q14" s="194" t="s">
        <v>4225</v>
      </c>
    </row>
    <row r="15">
      <c r="A15" s="33"/>
      <c r="B15" s="33" t="s">
        <v>4221</v>
      </c>
      <c r="C15" s="12" t="s">
        <v>4226</v>
      </c>
      <c r="D15" s="12" t="s">
        <v>26</v>
      </c>
      <c r="E15" s="61" t="s">
        <v>4227</v>
      </c>
      <c r="F15" s="121" t="s">
        <v>4228</v>
      </c>
      <c r="G15" s="118"/>
      <c r="H15" s="192" t="str">
        <f t="shared" ref="H15:K15" si="12">lower(C15)</f>
        <v>sesbirthdate</v>
      </c>
      <c r="I15" s="192" t="str">
        <f t="shared" si="12"/>
        <v>date</v>
      </c>
      <c r="J15" s="192" t="str">
        <f t="shared" si="12"/>
        <v>date of birth</v>
      </c>
      <c r="K15" s="192" t="str">
        <f t="shared" si="12"/>
        <v>ses_birth_date</v>
      </c>
      <c r="L15" s="61" t="s">
        <v>7192</v>
      </c>
      <c r="M15" s="193"/>
      <c r="N15" s="193"/>
      <c r="O15" s="193"/>
      <c r="P15" s="194" t="s">
        <v>4229</v>
      </c>
      <c r="Q15" s="194" t="s">
        <v>4229</v>
      </c>
    </row>
    <row r="16">
      <c r="A16" s="33"/>
      <c r="B16" s="33" t="s">
        <v>4221</v>
      </c>
      <c r="C16" s="12" t="s">
        <v>4230</v>
      </c>
      <c r="D16" s="12" t="s">
        <v>31</v>
      </c>
      <c r="E16" s="61" t="s">
        <v>4231</v>
      </c>
      <c r="F16" s="121" t="s">
        <v>8440</v>
      </c>
      <c r="G16" s="118"/>
      <c r="H16" s="192" t="str">
        <f t="shared" ref="H16:K16" si="13">lower(C16)</f>
        <v>chronologicalage_mo</v>
      </c>
      <c r="I16" s="192" t="str">
        <f t="shared" si="13"/>
        <v>int</v>
      </c>
      <c r="J16" s="192" t="str">
        <f t="shared" si="13"/>
        <v>chronological age</v>
      </c>
      <c r="K16" s="192" t="str">
        <f t="shared" si="13"/>
        <v>chronological_age</v>
      </c>
      <c r="L16" s="61" t="s">
        <v>8441</v>
      </c>
      <c r="M16" s="193"/>
      <c r="N16" s="193"/>
      <c r="O16" s="193"/>
      <c r="P16" s="194" t="s">
        <v>4233</v>
      </c>
      <c r="Q16" s="194" t="s">
        <v>4233</v>
      </c>
    </row>
    <row r="17">
      <c r="A17" s="33"/>
      <c r="B17" s="33" t="s">
        <v>4221</v>
      </c>
      <c r="C17" s="12" t="s">
        <v>4234</v>
      </c>
      <c r="D17" s="12" t="s">
        <v>31</v>
      </c>
      <c r="E17" s="61" t="s">
        <v>4235</v>
      </c>
      <c r="F17" s="121" t="s">
        <v>8442</v>
      </c>
      <c r="G17" s="118"/>
      <c r="H17" s="192" t="str">
        <f t="shared" ref="H17:K17" si="14">lower(C17)</f>
        <v>correctedage_mo</v>
      </c>
      <c r="I17" s="192" t="str">
        <f t="shared" si="14"/>
        <v>int</v>
      </c>
      <c r="J17" s="192" t="str">
        <f t="shared" si="14"/>
        <v>corrected age</v>
      </c>
      <c r="K17" s="192" t="str">
        <f t="shared" si="14"/>
        <v>corrected_age</v>
      </c>
      <c r="L17" s="193"/>
      <c r="M17" s="193"/>
      <c r="N17" s="193"/>
      <c r="O17" s="193"/>
      <c r="P17" s="194" t="s">
        <v>4237</v>
      </c>
      <c r="Q17" s="194" t="s">
        <v>4237</v>
      </c>
    </row>
    <row r="18">
      <c r="A18" s="33"/>
      <c r="B18" s="33" t="s">
        <v>4221</v>
      </c>
      <c r="C18" s="12" t="s">
        <v>4238</v>
      </c>
      <c r="D18" s="12" t="s">
        <v>40</v>
      </c>
      <c r="E18" s="61" t="s">
        <v>4239</v>
      </c>
      <c r="F18" s="121" t="s">
        <v>4240</v>
      </c>
      <c r="G18" s="118"/>
      <c r="H18" s="192" t="str">
        <f t="shared" ref="H18:K18" si="15">lower(C18)</f>
        <v>understatesupervision</v>
      </c>
      <c r="I18" s="192" t="str">
        <f t="shared" si="15"/>
        <v>bool</v>
      </c>
      <c r="J18" s="192" t="str">
        <f t="shared" si="15"/>
        <v>is the child under state supervision</v>
      </c>
      <c r="K18" s="192" t="str">
        <f t="shared" si="15"/>
        <v>under_state_supervision</v>
      </c>
      <c r="L18" s="193"/>
      <c r="M18" s="193"/>
      <c r="N18" s="193"/>
      <c r="O18" s="193"/>
      <c r="P18" s="194" t="s">
        <v>4241</v>
      </c>
      <c r="Q18" s="194" t="s">
        <v>4241</v>
      </c>
    </row>
    <row r="19">
      <c r="A19" s="33"/>
      <c r="B19" s="33" t="s">
        <v>4221</v>
      </c>
      <c r="C19" s="12" t="s">
        <v>4242</v>
      </c>
      <c r="D19" s="12" t="s">
        <v>4243</v>
      </c>
      <c r="E19" s="61" t="s">
        <v>4244</v>
      </c>
      <c r="F19" s="121" t="s">
        <v>4245</v>
      </c>
      <c r="G19" s="118"/>
      <c r="H19" s="192" t="str">
        <f t="shared" ref="H19:K19" si="16">lower(C19)</f>
        <v>primarycaretaker</v>
      </c>
      <c r="I19" s="192" t="str">
        <f t="shared" si="16"/>
        <v>relationship</v>
      </c>
      <c r="J19" s="192" t="str">
        <f t="shared" si="16"/>
        <v>primary caretaker</v>
      </c>
      <c r="K19" s="192" t="str">
        <f t="shared" si="16"/>
        <v>primary_caretaker</v>
      </c>
      <c r="L19" s="61" t="s">
        <v>8443</v>
      </c>
      <c r="M19" s="193"/>
      <c r="N19" s="193"/>
      <c r="O19" s="193"/>
      <c r="P19" s="194" t="s">
        <v>4246</v>
      </c>
      <c r="Q19" s="194" t="s">
        <v>4246</v>
      </c>
    </row>
    <row r="20">
      <c r="A20" s="33"/>
      <c r="B20" s="33" t="s">
        <v>4221</v>
      </c>
      <c r="C20" s="12" t="s">
        <v>4247</v>
      </c>
      <c r="D20" s="12" t="s">
        <v>4243</v>
      </c>
      <c r="E20" s="61" t="s">
        <v>4248</v>
      </c>
      <c r="F20" s="121" t="s">
        <v>4249</v>
      </c>
      <c r="G20" s="118"/>
      <c r="H20" s="192" t="str">
        <f t="shared" ref="H20:K20" si="17">lower(C20)</f>
        <v>othercaretaker</v>
      </c>
      <c r="I20" s="192" t="str">
        <f t="shared" si="17"/>
        <v>relationship</v>
      </c>
      <c r="J20" s="192" t="str">
        <f t="shared" si="17"/>
        <v>other caretaker</v>
      </c>
      <c r="K20" s="192" t="str">
        <f t="shared" si="17"/>
        <v>other_caretaker</v>
      </c>
      <c r="L20" s="193"/>
      <c r="M20" s="193"/>
      <c r="N20" s="193"/>
      <c r="O20" s="193"/>
      <c r="P20" s="194" t="s">
        <v>4250</v>
      </c>
      <c r="Q20" s="194" t="s">
        <v>4250</v>
      </c>
    </row>
    <row r="21">
      <c r="A21" s="33"/>
      <c r="B21" s="33" t="s">
        <v>4221</v>
      </c>
      <c r="C21" s="12" t="s">
        <v>4251</v>
      </c>
      <c r="D21" s="12" t="s">
        <v>260</v>
      </c>
      <c r="E21" s="61" t="s">
        <v>4252</v>
      </c>
      <c r="F21" s="121" t="s">
        <v>4253</v>
      </c>
      <c r="G21" s="118"/>
      <c r="H21" s="192" t="str">
        <f t="shared" ref="H21:K21" si="18">lower(C21)</f>
        <v>maritalstatusprimarycaretaker</v>
      </c>
      <c r="I21" s="192" t="str">
        <f t="shared" si="18"/>
        <v>maritalstatus</v>
      </c>
      <c r="J21" s="192" t="str">
        <f t="shared" si="18"/>
        <v>pimrary caretaker's marital status</v>
      </c>
      <c r="K21" s="192" t="str">
        <f t="shared" si="18"/>
        <v>marital_status_primary_caretaker</v>
      </c>
      <c r="L21" s="61" t="s">
        <v>8444</v>
      </c>
      <c r="M21" s="193"/>
      <c r="N21" s="193"/>
      <c r="O21" s="193"/>
      <c r="P21" s="194" t="s">
        <v>4254</v>
      </c>
      <c r="Q21" s="194" t="s">
        <v>4254</v>
      </c>
    </row>
    <row r="22">
      <c r="A22" s="33"/>
      <c r="B22" s="33" t="s">
        <v>4221</v>
      </c>
      <c r="C22" s="12" t="s">
        <v>4255</v>
      </c>
      <c r="D22" s="12" t="s">
        <v>4256</v>
      </c>
      <c r="E22" s="61" t="s">
        <v>4257</v>
      </c>
      <c r="F22" s="121" t="s">
        <v>4258</v>
      </c>
      <c r="G22" s="118"/>
      <c r="H22" s="192" t="str">
        <f t="shared" ref="H22:K22" si="19">lower(C22)</f>
        <v>livingarrangementchild</v>
      </c>
      <c r="I22" s="192" t="str">
        <f t="shared" si="19"/>
        <v>livingarrange</v>
      </c>
      <c r="J22" s="192" t="str">
        <f t="shared" si="19"/>
        <v>child's current living arrangement</v>
      </c>
      <c r="K22" s="192" t="str">
        <f t="shared" si="19"/>
        <v>living_arrangement_child</v>
      </c>
      <c r="L22" s="61" t="s">
        <v>8445</v>
      </c>
      <c r="M22" s="193"/>
      <c r="N22" s="193"/>
      <c r="O22" s="193"/>
      <c r="P22" s="194" t="s">
        <v>4259</v>
      </c>
      <c r="Q22" s="194" t="s">
        <v>4259</v>
      </c>
    </row>
    <row r="23">
      <c r="A23" s="33"/>
      <c r="B23" s="33" t="s">
        <v>4221</v>
      </c>
      <c r="C23" s="12" t="s">
        <v>4260</v>
      </c>
      <c r="D23" s="12" t="s">
        <v>31</v>
      </c>
      <c r="E23" s="61" t="s">
        <v>4261</v>
      </c>
      <c r="F23" s="121" t="s">
        <v>4262</v>
      </c>
      <c r="G23" s="118"/>
      <c r="H23" s="192" t="str">
        <f t="shared" ref="H23:K23" si="20">lower(C23)</f>
        <v>numberpeopleinchildhousehold</v>
      </c>
      <c r="I23" s="192" t="str">
        <f t="shared" si="20"/>
        <v>int</v>
      </c>
      <c r="J23" s="192" t="str">
        <f t="shared" si="20"/>
        <v>number of people living in child's household</v>
      </c>
      <c r="K23" s="192" t="str">
        <f t="shared" si="20"/>
        <v>number_people_in_child_household</v>
      </c>
      <c r="L23" s="61" t="s">
        <v>8446</v>
      </c>
      <c r="M23" s="193"/>
      <c r="N23" s="193"/>
      <c r="O23" s="193"/>
      <c r="P23" s="194" t="s">
        <v>4263</v>
      </c>
      <c r="Q23" s="194" t="s">
        <v>4263</v>
      </c>
    </row>
    <row r="24">
      <c r="A24" s="33"/>
      <c r="B24" s="33" t="s">
        <v>4221</v>
      </c>
      <c r="C24" s="12" t="s">
        <v>4264</v>
      </c>
      <c r="D24" s="12" t="s">
        <v>40</v>
      </c>
      <c r="E24" s="61" t="s">
        <v>4265</v>
      </c>
      <c r="F24" s="121" t="s">
        <v>4266</v>
      </c>
      <c r="G24" s="118"/>
      <c r="H24" s="192" t="str">
        <f t="shared" ref="H24:K24" si="21">lower(C24)</f>
        <v>othercontributemoneytochildhousehold</v>
      </c>
      <c r="I24" s="192" t="str">
        <f t="shared" si="21"/>
        <v>bool</v>
      </c>
      <c r="J24" s="192" t="str">
        <f t="shared" si="21"/>
        <v>apart from primary caretaker, do others contribute money to the child's household?</v>
      </c>
      <c r="K24" s="192" t="str">
        <f t="shared" si="21"/>
        <v>other_contribute_money_to_child_household</v>
      </c>
      <c r="L24" s="193"/>
      <c r="M24" s="193"/>
      <c r="N24" s="193"/>
      <c r="O24" s="193"/>
      <c r="P24" s="194" t="s">
        <v>4267</v>
      </c>
      <c r="Q24" s="194" t="s">
        <v>4267</v>
      </c>
    </row>
    <row r="25">
      <c r="A25" s="33"/>
      <c r="B25" s="33" t="s">
        <v>4221</v>
      </c>
      <c r="C25" s="12" t="s">
        <v>4268</v>
      </c>
      <c r="D25" s="12" t="s">
        <v>266</v>
      </c>
      <c r="E25" s="61" t="s">
        <v>4269</v>
      </c>
      <c r="F25" s="121" t="s">
        <v>4270</v>
      </c>
      <c r="G25" s="118"/>
      <c r="H25" s="192" t="str">
        <f t="shared" ref="H25:K25" si="22">lower(C25)</f>
        <v>educationprimarycaretaker</v>
      </c>
      <c r="I25" s="192" t="str">
        <f t="shared" si="22"/>
        <v>education</v>
      </c>
      <c r="J25" s="192" t="str">
        <f t="shared" si="22"/>
        <v>highest grade completed or attended - primary caretaker</v>
      </c>
      <c r="K25" s="192" t="str">
        <f t="shared" si="22"/>
        <v>education_primary_caretaker</v>
      </c>
      <c r="L25" s="61" t="s">
        <v>8447</v>
      </c>
      <c r="M25" s="193"/>
      <c r="N25" s="193"/>
      <c r="O25" s="193"/>
      <c r="P25" s="194" t="s">
        <v>4271</v>
      </c>
      <c r="Q25" s="194" t="s">
        <v>4271</v>
      </c>
    </row>
    <row r="26">
      <c r="A26" s="33"/>
      <c r="B26" s="33" t="s">
        <v>4221</v>
      </c>
      <c r="C26" s="12" t="s">
        <v>4272</v>
      </c>
      <c r="D26" s="12" t="s">
        <v>266</v>
      </c>
      <c r="E26" s="61" t="s">
        <v>4273</v>
      </c>
      <c r="F26" s="121" t="s">
        <v>4274</v>
      </c>
      <c r="G26" s="118"/>
      <c r="H26" s="192" t="str">
        <f t="shared" ref="H26:K26" si="23">lower(C26)</f>
        <v>educationothercaretaker</v>
      </c>
      <c r="I26" s="192" t="str">
        <f t="shared" si="23"/>
        <v>education</v>
      </c>
      <c r="J26" s="192" t="str">
        <f t="shared" si="23"/>
        <v>highest grade completed or attended - other caretaker</v>
      </c>
      <c r="K26" s="192" t="str">
        <f t="shared" si="23"/>
        <v>education_other_caretaker</v>
      </c>
      <c r="L26" s="61" t="s">
        <v>8447</v>
      </c>
      <c r="M26" s="193"/>
      <c r="N26" s="193"/>
      <c r="O26" s="193"/>
      <c r="P26" s="194" t="s">
        <v>4275</v>
      </c>
      <c r="Q26" s="194" t="s">
        <v>4275</v>
      </c>
    </row>
    <row r="27">
      <c r="A27" s="33"/>
      <c r="B27" s="33" t="s">
        <v>4221</v>
      </c>
      <c r="C27" s="12" t="s">
        <v>4276</v>
      </c>
      <c r="D27" s="12" t="s">
        <v>40</v>
      </c>
      <c r="E27" s="61" t="s">
        <v>4277</v>
      </c>
      <c r="F27" s="121" t="s">
        <v>4278</v>
      </c>
      <c r="G27" s="118"/>
      <c r="H27" s="192" t="str">
        <f t="shared" ref="H27:K27" si="24">lower(C27)</f>
        <v>workprimarycaretaker</v>
      </c>
      <c r="I27" s="192" t="str">
        <f t="shared" si="24"/>
        <v>bool</v>
      </c>
      <c r="J27" s="192" t="str">
        <f t="shared" si="24"/>
        <v>currently working - primary caretaker</v>
      </c>
      <c r="K27" s="192" t="str">
        <f t="shared" si="24"/>
        <v>work_primary_caretaker</v>
      </c>
      <c r="L27" s="61" t="s">
        <v>8448</v>
      </c>
      <c r="M27" s="193"/>
      <c r="N27" s="193"/>
      <c r="O27" s="193"/>
      <c r="P27" s="194" t="s">
        <v>4279</v>
      </c>
      <c r="Q27" s="194" t="s">
        <v>4279</v>
      </c>
    </row>
    <row r="28">
      <c r="A28" s="33"/>
      <c r="B28" s="33" t="s">
        <v>4221</v>
      </c>
      <c r="C28" s="12" t="s">
        <v>4280</v>
      </c>
      <c r="D28" s="12" t="s">
        <v>40</v>
      </c>
      <c r="E28" s="61" t="s">
        <v>4281</v>
      </c>
      <c r="F28" s="121" t="s">
        <v>4282</v>
      </c>
      <c r="G28" s="118"/>
      <c r="H28" s="192" t="str">
        <f t="shared" ref="H28:K28" si="25">lower(C28)</f>
        <v>workothercaretaker</v>
      </c>
      <c r="I28" s="192" t="str">
        <f t="shared" si="25"/>
        <v>bool</v>
      </c>
      <c r="J28" s="192" t="str">
        <f t="shared" si="25"/>
        <v>currently working - other caretaker</v>
      </c>
      <c r="K28" s="192" t="str">
        <f t="shared" si="25"/>
        <v>work_other_caretaker</v>
      </c>
      <c r="L28" s="61" t="s">
        <v>8448</v>
      </c>
      <c r="M28" s="193"/>
      <c r="N28" s="193"/>
      <c r="O28" s="193"/>
      <c r="P28" s="194" t="s">
        <v>4283</v>
      </c>
      <c r="Q28" s="194" t="s">
        <v>4283</v>
      </c>
    </row>
    <row r="29">
      <c r="A29" s="33"/>
      <c r="B29" s="33" t="s">
        <v>4221</v>
      </c>
      <c r="C29" s="12" t="s">
        <v>4284</v>
      </c>
      <c r="D29" s="12" t="s">
        <v>40</v>
      </c>
      <c r="E29" s="61" t="s">
        <v>4285</v>
      </c>
      <c r="F29" s="121" t="s">
        <v>4286</v>
      </c>
      <c r="G29" s="118"/>
      <c r="H29" s="192" t="str">
        <f t="shared" ref="H29:K29" si="26">lower(C29)</f>
        <v>inschoolprimarycaretaker</v>
      </c>
      <c r="I29" s="192" t="str">
        <f t="shared" si="26"/>
        <v>bool</v>
      </c>
      <c r="J29" s="192" t="str">
        <f t="shared" si="26"/>
        <v>currently in school - pimrary caretaker</v>
      </c>
      <c r="K29" s="192" t="str">
        <f t="shared" si="26"/>
        <v>in_school_primary_caretaker</v>
      </c>
      <c r="L29" s="61" t="s">
        <v>8449</v>
      </c>
      <c r="M29" s="193"/>
      <c r="N29" s="193"/>
      <c r="O29" s="193"/>
      <c r="P29" s="194" t="s">
        <v>4287</v>
      </c>
      <c r="Q29" s="194" t="s">
        <v>4287</v>
      </c>
    </row>
    <row r="30">
      <c r="A30" s="33"/>
      <c r="B30" s="33" t="s">
        <v>4221</v>
      </c>
      <c r="C30" s="12" t="s">
        <v>4288</v>
      </c>
      <c r="D30" s="12" t="s">
        <v>40</v>
      </c>
      <c r="E30" s="61" t="s">
        <v>4289</v>
      </c>
      <c r="F30" s="121" t="s">
        <v>4290</v>
      </c>
      <c r="G30" s="118"/>
      <c r="H30" s="192" t="str">
        <f t="shared" ref="H30:K30" si="27">lower(C30)</f>
        <v>inschoolothercaretaker</v>
      </c>
      <c r="I30" s="192" t="str">
        <f t="shared" si="27"/>
        <v>bool</v>
      </c>
      <c r="J30" s="192" t="str">
        <f t="shared" si="27"/>
        <v>currently in school - other caretaker</v>
      </c>
      <c r="K30" s="192" t="str">
        <f t="shared" si="27"/>
        <v>in_school_other_caretaker</v>
      </c>
      <c r="L30" s="61" t="s">
        <v>8449</v>
      </c>
      <c r="M30" s="193"/>
      <c r="N30" s="193"/>
      <c r="O30" s="193"/>
      <c r="P30" s="194" t="s">
        <v>4291</v>
      </c>
      <c r="Q30" s="194" t="s">
        <v>4291</v>
      </c>
    </row>
    <row r="31">
      <c r="A31" s="33"/>
      <c r="B31" s="33" t="s">
        <v>4221</v>
      </c>
      <c r="C31" s="12" t="s">
        <v>4292</v>
      </c>
      <c r="D31" s="12" t="s">
        <v>4293</v>
      </c>
      <c r="E31" s="61" t="s">
        <v>4294</v>
      </c>
      <c r="F31" s="121" t="s">
        <v>4295</v>
      </c>
      <c r="G31" s="118"/>
      <c r="H31" s="192" t="str">
        <f t="shared" ref="H31:K31" si="28">lower(C31)</f>
        <v>totalincomechildhousehold</v>
      </c>
      <c r="I31" s="192" t="str">
        <f t="shared" si="28"/>
        <v>totalincome</v>
      </c>
      <c r="J31" s="192" t="str">
        <f t="shared" si="28"/>
        <v>total income in the child's household</v>
      </c>
      <c r="K31" s="192" t="str">
        <f t="shared" si="28"/>
        <v>total_income_child_household</v>
      </c>
      <c r="L31" s="61" t="s">
        <v>8450</v>
      </c>
      <c r="M31" s="193"/>
      <c r="N31" s="193"/>
      <c r="O31" s="193"/>
      <c r="P31" s="194" t="s">
        <v>4296</v>
      </c>
      <c r="Q31" s="193"/>
    </row>
    <row r="32">
      <c r="A32" s="33"/>
      <c r="B32" s="33" t="s">
        <v>4221</v>
      </c>
      <c r="C32" s="12" t="s">
        <v>4297</v>
      </c>
      <c r="D32" s="12" t="s">
        <v>272</v>
      </c>
      <c r="E32" s="61" t="s">
        <v>4298</v>
      </c>
      <c r="F32" s="121" t="s">
        <v>4299</v>
      </c>
      <c r="G32" s="118"/>
      <c r="H32" s="192" t="str">
        <f t="shared" ref="H32:K32" si="29">lower(C32)</f>
        <v>medicalinsurancechild</v>
      </c>
      <c r="I32" s="192" t="str">
        <f t="shared" si="29"/>
        <v>insurance</v>
      </c>
      <c r="J32" s="192" t="str">
        <f t="shared" si="29"/>
        <v>child's medical insurance</v>
      </c>
      <c r="K32" s="192" t="str">
        <f t="shared" si="29"/>
        <v>medical_insurance_child</v>
      </c>
      <c r="L32" s="61" t="s">
        <v>8451</v>
      </c>
      <c r="M32" s="193"/>
      <c r="N32" s="193"/>
      <c r="O32" s="193"/>
      <c r="P32" s="194" t="s">
        <v>4300</v>
      </c>
      <c r="Q32" s="194" t="s">
        <v>4300</v>
      </c>
    </row>
    <row r="33">
      <c r="A33" s="33"/>
      <c r="B33" s="33" t="s">
        <v>4221</v>
      </c>
      <c r="C33" s="12" t="s">
        <v>4301</v>
      </c>
      <c r="D33" s="12" t="s">
        <v>4302</v>
      </c>
      <c r="E33" s="61" t="s">
        <v>4303</v>
      </c>
      <c r="F33" s="121" t="s">
        <v>4304</v>
      </c>
      <c r="G33" s="118"/>
      <c r="H33" s="192" t="str">
        <f t="shared" ref="H33:K33" si="30">lower(C33)</f>
        <v>primarylanguagechild</v>
      </c>
      <c r="I33" s="192" t="str">
        <f t="shared" si="30"/>
        <v>language</v>
      </c>
      <c r="J33" s="192" t="str">
        <f t="shared" si="30"/>
        <v>primary language spoken to the child</v>
      </c>
      <c r="K33" s="192" t="str">
        <f t="shared" si="30"/>
        <v>primary_language_child</v>
      </c>
      <c r="L33" s="61" t="s">
        <v>8452</v>
      </c>
      <c r="M33" s="193"/>
      <c r="N33" s="193"/>
      <c r="O33" s="193"/>
      <c r="P33" s="194" t="s">
        <v>4305</v>
      </c>
      <c r="Q33" s="194" t="s">
        <v>4305</v>
      </c>
    </row>
    <row r="34">
      <c r="A34" s="33"/>
      <c r="B34" s="33" t="s">
        <v>4221</v>
      </c>
      <c r="C34" s="12" t="s">
        <v>4306</v>
      </c>
      <c r="D34" s="12" t="s">
        <v>16</v>
      </c>
      <c r="E34" s="61" t="s">
        <v>4307</v>
      </c>
      <c r="F34" s="121" t="s">
        <v>4308</v>
      </c>
      <c r="G34" s="118"/>
      <c r="H34" s="192" t="str">
        <f t="shared" ref="H34:K34" si="31">lower(C34)</f>
        <v>primarylanguagechildothertext</v>
      </c>
      <c r="I34" s="192" t="str">
        <f t="shared" si="31"/>
        <v>text</v>
      </c>
      <c r="J34" s="192" t="str">
        <f t="shared" si="31"/>
        <v>language: other - specify</v>
      </c>
      <c r="K34" s="192" t="str">
        <f t="shared" si="31"/>
        <v>primary_language_child_other_text</v>
      </c>
      <c r="L34" s="61" t="s">
        <v>8452</v>
      </c>
      <c r="M34" s="193"/>
      <c r="N34" s="193"/>
      <c r="O34" s="193"/>
      <c r="P34" s="194" t="s">
        <v>4309</v>
      </c>
      <c r="Q34" s="194" t="s">
        <v>4309</v>
      </c>
    </row>
    <row r="35">
      <c r="A35" s="33"/>
      <c r="B35" s="33" t="s">
        <v>4221</v>
      </c>
      <c r="C35" s="12" t="s">
        <v>4310</v>
      </c>
      <c r="D35" s="12" t="s">
        <v>40</v>
      </c>
      <c r="E35" s="61" t="s">
        <v>4311</v>
      </c>
      <c r="F35" s="121" t="s">
        <v>4312</v>
      </c>
      <c r="G35" s="118"/>
      <c r="H35" s="192" t="str">
        <f t="shared" ref="H35:K35" si="32">lower(C35)</f>
        <v>issecondarylanguagechild</v>
      </c>
      <c r="I35" s="192" t="str">
        <f t="shared" si="32"/>
        <v>bool</v>
      </c>
      <c r="J35" s="192" t="str">
        <f t="shared" si="32"/>
        <v>is secondary language spoken to the child</v>
      </c>
      <c r="K35" s="192" t="str">
        <f t="shared" si="32"/>
        <v>is_secondary_language_child</v>
      </c>
      <c r="L35" s="193"/>
      <c r="M35" s="193"/>
      <c r="N35" s="193"/>
      <c r="O35" s="193"/>
      <c r="P35" s="194" t="s">
        <v>4313</v>
      </c>
      <c r="Q35" s="194" t="s">
        <v>4313</v>
      </c>
    </row>
    <row r="36">
      <c r="A36" s="33"/>
      <c r="B36" s="33" t="s">
        <v>4221</v>
      </c>
      <c r="C36" s="12" t="s">
        <v>4314</v>
      </c>
      <c r="D36" s="12" t="s">
        <v>4302</v>
      </c>
      <c r="E36" s="61" t="s">
        <v>4315</v>
      </c>
      <c r="F36" s="121" t="s">
        <v>4316</v>
      </c>
      <c r="G36" s="118"/>
      <c r="H36" s="192" t="str">
        <f t="shared" ref="H36:K36" si="33">lower(C36)</f>
        <v>secondarylanguagechild</v>
      </c>
      <c r="I36" s="192" t="str">
        <f t="shared" si="33"/>
        <v>language</v>
      </c>
      <c r="J36" s="192" t="str">
        <f t="shared" si="33"/>
        <v>secondary language spoken to the child</v>
      </c>
      <c r="K36" s="192" t="str">
        <f t="shared" si="33"/>
        <v>secondary_language_child</v>
      </c>
      <c r="L36" s="193"/>
      <c r="M36" s="193"/>
      <c r="N36" s="193"/>
      <c r="O36" s="193"/>
      <c r="P36" s="194" t="s">
        <v>4317</v>
      </c>
      <c r="Q36" s="194" t="s">
        <v>4317</v>
      </c>
    </row>
    <row r="37">
      <c r="A37" s="33"/>
      <c r="B37" s="33" t="s">
        <v>4221</v>
      </c>
      <c r="C37" s="12" t="s">
        <v>4318</v>
      </c>
      <c r="D37" s="12" t="s">
        <v>16</v>
      </c>
      <c r="E37" s="61" t="s">
        <v>4319</v>
      </c>
      <c r="F37" s="121" t="s">
        <v>4320</v>
      </c>
      <c r="G37" s="118"/>
      <c r="H37" s="192" t="str">
        <f t="shared" ref="H37:K37" si="34">lower(C37)</f>
        <v>secondarylanguagechildothertext</v>
      </c>
      <c r="I37" s="192" t="str">
        <f t="shared" si="34"/>
        <v>text</v>
      </c>
      <c r="J37" s="192" t="str">
        <f t="shared" si="34"/>
        <v>secondary language: other -specify</v>
      </c>
      <c r="K37" s="192" t="str">
        <f t="shared" si="34"/>
        <v>secondary_language_child_other_text</v>
      </c>
      <c r="L37" s="193"/>
      <c r="M37" s="193"/>
      <c r="N37" s="193"/>
      <c r="O37" s="193"/>
      <c r="P37" s="194" t="s">
        <v>4321</v>
      </c>
      <c r="Q37" s="194" t="s">
        <v>4321</v>
      </c>
    </row>
    <row r="38">
      <c r="A38" s="33"/>
      <c r="B38" s="33" t="s">
        <v>4221</v>
      </c>
      <c r="C38" s="12" t="s">
        <v>4322</v>
      </c>
      <c r="D38" s="12" t="s">
        <v>31</v>
      </c>
      <c r="E38" s="61" t="s">
        <v>4323</v>
      </c>
      <c r="F38" s="121" t="s">
        <v>4324</v>
      </c>
      <c r="G38" s="118"/>
      <c r="H38" s="192" t="str">
        <f t="shared" ref="H38:K38" si="35">lower(C38)</f>
        <v>numberplacechildlive</v>
      </c>
      <c r="I38" s="192" t="str">
        <f t="shared" si="35"/>
        <v>int</v>
      </c>
      <c r="J38" s="192" t="str">
        <f t="shared" si="35"/>
        <v>number of places the child has lived since discharge</v>
      </c>
      <c r="K38" s="192" t="str">
        <f t="shared" si="35"/>
        <v>number_place_child_live</v>
      </c>
      <c r="L38" s="193"/>
      <c r="M38" s="193"/>
      <c r="N38" s="193"/>
      <c r="O38" s="193"/>
      <c r="P38" s="194" t="s">
        <v>4325</v>
      </c>
      <c r="Q38" s="194" t="s">
        <v>4325</v>
      </c>
    </row>
    <row r="39">
      <c r="A39" s="33"/>
      <c r="B39" s="33" t="s">
        <v>4221</v>
      </c>
      <c r="C39" s="12" t="s">
        <v>4326</v>
      </c>
      <c r="D39" s="12" t="s">
        <v>31</v>
      </c>
      <c r="E39" s="61" t="s">
        <v>4327</v>
      </c>
      <c r="F39" s="121" t="s">
        <v>4326</v>
      </c>
      <c r="G39" s="118"/>
      <c r="H39" s="192" t="str">
        <f t="shared" ref="H39:K39" si="36">lower(C39)</f>
        <v>zipcode</v>
      </c>
      <c r="I39" s="192" t="str">
        <f t="shared" si="36"/>
        <v>int</v>
      </c>
      <c r="J39" s="192" t="str">
        <f t="shared" si="36"/>
        <v>child's current zipcode</v>
      </c>
      <c r="K39" s="192" t="str">
        <f t="shared" si="36"/>
        <v>zipcode</v>
      </c>
      <c r="L39" s="193"/>
      <c r="M39" s="193"/>
      <c r="N39" s="193"/>
      <c r="O39" s="193"/>
      <c r="P39" s="194" t="s">
        <v>4328</v>
      </c>
      <c r="Q39" s="193"/>
    </row>
    <row r="40">
      <c r="A40" s="33"/>
      <c r="B40" s="33" t="s">
        <v>4221</v>
      </c>
      <c r="C40" s="12" t="s">
        <v>4329</v>
      </c>
      <c r="D40" s="12" t="s">
        <v>4330</v>
      </c>
      <c r="E40" s="61" t="s">
        <v>4331</v>
      </c>
      <c r="F40" s="121" t="s">
        <v>4332</v>
      </c>
      <c r="G40" s="118"/>
      <c r="H40" s="192" t="str">
        <f t="shared" ref="H40:K40" si="37">lower(C40)</f>
        <v>visitingnursereceive</v>
      </c>
      <c r="I40" s="192" t="str">
        <f t="shared" si="37"/>
        <v>receive</v>
      </c>
      <c r="J40" s="192" t="str">
        <f t="shared" si="37"/>
        <v>visiting nurse - received</v>
      </c>
      <c r="K40" s="192" t="str">
        <f t="shared" si="37"/>
        <v>visiting_nurse_receive</v>
      </c>
      <c r="L40" s="193"/>
      <c r="M40" s="193"/>
      <c r="N40" s="193"/>
      <c r="O40" s="193"/>
      <c r="P40" s="194" t="s">
        <v>4333</v>
      </c>
      <c r="Q40" s="194" t="s">
        <v>4333</v>
      </c>
    </row>
    <row r="41">
      <c r="A41" s="33"/>
      <c r="B41" s="33" t="s">
        <v>4221</v>
      </c>
      <c r="C41" s="12" t="s">
        <v>4334</v>
      </c>
      <c r="D41" s="12" t="s">
        <v>40</v>
      </c>
      <c r="E41" s="61" t="s">
        <v>4335</v>
      </c>
      <c r="F41" s="121" t="s">
        <v>4336</v>
      </c>
      <c r="G41" s="118"/>
      <c r="H41" s="192" t="str">
        <f t="shared" ref="H41:K41" si="38">lower(C41)</f>
        <v>visitingnurseneed</v>
      </c>
      <c r="I41" s="192" t="str">
        <f t="shared" si="38"/>
        <v>bool</v>
      </c>
      <c r="J41" s="192" t="str">
        <f t="shared" si="38"/>
        <v>visiting nurse - need</v>
      </c>
      <c r="K41" s="192" t="str">
        <f t="shared" si="38"/>
        <v>visiting_nurse_need</v>
      </c>
      <c r="L41" s="193"/>
      <c r="M41" s="193"/>
      <c r="N41" s="193"/>
      <c r="O41" s="193"/>
      <c r="P41" s="194" t="s">
        <v>4337</v>
      </c>
      <c r="Q41" s="194" t="s">
        <v>4337</v>
      </c>
    </row>
    <row r="42">
      <c r="A42" s="33"/>
      <c r="B42" s="33" t="s">
        <v>4221</v>
      </c>
      <c r="C42" s="12" t="s">
        <v>4338</v>
      </c>
      <c r="D42" s="12" t="s">
        <v>4330</v>
      </c>
      <c r="E42" s="61" t="s">
        <v>4339</v>
      </c>
      <c r="F42" s="121" t="s">
        <v>4340</v>
      </c>
      <c r="G42" s="118"/>
      <c r="H42" s="192" t="str">
        <f t="shared" ref="H42:K42" si="39">lower(C42)</f>
        <v>homenursereceive</v>
      </c>
      <c r="I42" s="192" t="str">
        <f t="shared" si="39"/>
        <v>receive</v>
      </c>
      <c r="J42" s="192" t="str">
        <f t="shared" si="39"/>
        <v>home nurse - received</v>
      </c>
      <c r="K42" s="192" t="str">
        <f t="shared" si="39"/>
        <v>home_nurse_receive</v>
      </c>
      <c r="L42" s="193"/>
      <c r="M42" s="193"/>
      <c r="N42" s="193"/>
      <c r="O42" s="193"/>
      <c r="P42" s="194" t="s">
        <v>4341</v>
      </c>
      <c r="Q42" s="194" t="s">
        <v>4341</v>
      </c>
    </row>
    <row r="43">
      <c r="A43" s="33"/>
      <c r="B43" s="33" t="s">
        <v>4221</v>
      </c>
      <c r="C43" s="12" t="s">
        <v>4342</v>
      </c>
      <c r="D43" s="12" t="s">
        <v>40</v>
      </c>
      <c r="E43" s="61" t="s">
        <v>4343</v>
      </c>
      <c r="F43" s="121" t="s">
        <v>4344</v>
      </c>
      <c r="G43" s="118"/>
      <c r="H43" s="192" t="str">
        <f t="shared" ref="H43:K43" si="40">lower(C43)</f>
        <v>homenurseneed</v>
      </c>
      <c r="I43" s="192" t="str">
        <f t="shared" si="40"/>
        <v>bool</v>
      </c>
      <c r="J43" s="192" t="str">
        <f t="shared" si="40"/>
        <v>home nurse - need</v>
      </c>
      <c r="K43" s="192" t="str">
        <f t="shared" si="40"/>
        <v>home_nurse_need</v>
      </c>
      <c r="L43" s="193"/>
      <c r="M43" s="193"/>
      <c r="N43" s="193"/>
      <c r="O43" s="193"/>
      <c r="P43" s="194" t="s">
        <v>4345</v>
      </c>
      <c r="Q43" s="194" t="s">
        <v>4345</v>
      </c>
    </row>
    <row r="44">
      <c r="A44" s="33"/>
      <c r="B44" s="33" t="s">
        <v>4221</v>
      </c>
      <c r="C44" s="12" t="s">
        <v>4346</v>
      </c>
      <c r="D44" s="12" t="s">
        <v>4330</v>
      </c>
      <c r="E44" s="61" t="s">
        <v>4347</v>
      </c>
      <c r="F44" s="121" t="s">
        <v>4348</v>
      </c>
      <c r="G44" s="118"/>
      <c r="H44" s="192" t="str">
        <f t="shared" ref="H44:K44" si="41">lower(C44)</f>
        <v>otptreceive</v>
      </c>
      <c r="I44" s="192" t="str">
        <f t="shared" si="41"/>
        <v>receive</v>
      </c>
      <c r="J44" s="192" t="str">
        <f t="shared" si="41"/>
        <v>ot / pt - received</v>
      </c>
      <c r="K44" s="192" t="str">
        <f t="shared" si="41"/>
        <v>ot_pt_receive</v>
      </c>
      <c r="M44" s="193"/>
      <c r="N44" s="193"/>
      <c r="O44" s="193"/>
      <c r="P44" s="194" t="s">
        <v>4349</v>
      </c>
      <c r="Q44" s="194" t="s">
        <v>4349</v>
      </c>
    </row>
    <row r="45">
      <c r="A45" s="33"/>
      <c r="B45" s="33" t="s">
        <v>4221</v>
      </c>
      <c r="C45" s="12" t="s">
        <v>4350</v>
      </c>
      <c r="D45" s="12" t="s">
        <v>40</v>
      </c>
      <c r="E45" s="61" t="s">
        <v>4351</v>
      </c>
      <c r="F45" s="121" t="s">
        <v>4352</v>
      </c>
      <c r="G45" s="118"/>
      <c r="H45" s="192" t="str">
        <f t="shared" ref="H45:K45" si="42">lower(C45)</f>
        <v>otptneed</v>
      </c>
      <c r="I45" s="192" t="str">
        <f t="shared" si="42"/>
        <v>bool</v>
      </c>
      <c r="J45" s="192" t="str">
        <f t="shared" si="42"/>
        <v>ot / pt - need</v>
      </c>
      <c r="K45" s="192" t="str">
        <f t="shared" si="42"/>
        <v>ot_pt_need</v>
      </c>
      <c r="L45" s="193"/>
      <c r="M45" s="193"/>
      <c r="N45" s="193"/>
      <c r="O45" s="193"/>
      <c r="P45" s="194" t="s">
        <v>4353</v>
      </c>
      <c r="Q45" s="194" t="s">
        <v>4353</v>
      </c>
    </row>
    <row r="46">
      <c r="A46" s="33"/>
      <c r="B46" s="33" t="s">
        <v>4221</v>
      </c>
      <c r="C46" s="12" t="s">
        <v>4354</v>
      </c>
      <c r="D46" s="12" t="s">
        <v>4330</v>
      </c>
      <c r="E46" s="61" t="s">
        <v>4355</v>
      </c>
      <c r="F46" s="121" t="s">
        <v>4356</v>
      </c>
      <c r="G46" s="118"/>
      <c r="H46" s="192" t="str">
        <f t="shared" ref="H46:K46" si="43">lower(C46)</f>
        <v>speechtherapyreceive</v>
      </c>
      <c r="I46" s="192" t="str">
        <f t="shared" si="43"/>
        <v>receive</v>
      </c>
      <c r="J46" s="192" t="str">
        <f t="shared" si="43"/>
        <v>speech theray - received</v>
      </c>
      <c r="K46" s="192" t="str">
        <f t="shared" si="43"/>
        <v>speech_therapy_receive</v>
      </c>
      <c r="L46" s="193"/>
      <c r="M46" s="193"/>
      <c r="N46" s="193"/>
      <c r="O46" s="193"/>
      <c r="P46" s="194" t="s">
        <v>4357</v>
      </c>
      <c r="Q46" s="194" t="s">
        <v>4357</v>
      </c>
    </row>
    <row r="47">
      <c r="A47" s="33"/>
      <c r="B47" s="33" t="s">
        <v>4221</v>
      </c>
      <c r="C47" s="12" t="s">
        <v>4358</v>
      </c>
      <c r="D47" s="12" t="s">
        <v>40</v>
      </c>
      <c r="E47" s="61" t="s">
        <v>4359</v>
      </c>
      <c r="F47" s="121" t="s">
        <v>4360</v>
      </c>
      <c r="G47" s="118"/>
      <c r="H47" s="192" t="str">
        <f t="shared" ref="H47:K47" si="44">lower(C47)</f>
        <v>speechtherapyneed</v>
      </c>
      <c r="I47" s="192" t="str">
        <f t="shared" si="44"/>
        <v>bool</v>
      </c>
      <c r="J47" s="192" t="str">
        <f t="shared" si="44"/>
        <v>speech theray - needed</v>
      </c>
      <c r="K47" s="192" t="str">
        <f t="shared" si="44"/>
        <v>speech_therapy_need</v>
      </c>
      <c r="L47" s="193"/>
      <c r="M47" s="193"/>
      <c r="N47" s="193"/>
      <c r="O47" s="193"/>
      <c r="P47" s="194" t="s">
        <v>4361</v>
      </c>
      <c r="Q47" s="194" t="s">
        <v>4361</v>
      </c>
    </row>
    <row r="48">
      <c r="A48" s="33"/>
      <c r="B48" s="33" t="s">
        <v>4221</v>
      </c>
      <c r="C48" s="12" t="s">
        <v>4362</v>
      </c>
      <c r="D48" s="12" t="s">
        <v>4330</v>
      </c>
      <c r="E48" s="61" t="s">
        <v>4363</v>
      </c>
      <c r="F48" s="121" t="s">
        <v>4364</v>
      </c>
      <c r="G48" s="118"/>
      <c r="H48" s="192" t="str">
        <f t="shared" ref="H48:K48" si="45">lower(C48)</f>
        <v>earlyinterventionreceive</v>
      </c>
      <c r="I48" s="192" t="str">
        <f t="shared" si="45"/>
        <v>receive</v>
      </c>
      <c r="J48" s="192" t="str">
        <f t="shared" si="45"/>
        <v>early intervention - received</v>
      </c>
      <c r="K48" s="192" t="str">
        <f t="shared" si="45"/>
        <v>early_intervention_receive</v>
      </c>
      <c r="L48" s="193"/>
      <c r="M48" s="193"/>
      <c r="N48" s="193"/>
      <c r="O48" s="193"/>
      <c r="P48" s="194" t="s">
        <v>4365</v>
      </c>
      <c r="Q48" s="194" t="s">
        <v>4365</v>
      </c>
    </row>
    <row r="49">
      <c r="A49" s="33"/>
      <c r="B49" s="33" t="s">
        <v>4221</v>
      </c>
      <c r="C49" s="12" t="s">
        <v>4366</v>
      </c>
      <c r="D49" s="12" t="s">
        <v>40</v>
      </c>
      <c r="E49" s="61" t="s">
        <v>4367</v>
      </c>
      <c r="F49" s="121" t="s">
        <v>4368</v>
      </c>
      <c r="G49" s="118"/>
      <c r="H49" s="192" t="str">
        <f t="shared" ref="H49:K49" si="46">lower(C49)</f>
        <v>earlyinterventionneed</v>
      </c>
      <c r="I49" s="192" t="str">
        <f t="shared" si="46"/>
        <v>bool</v>
      </c>
      <c r="J49" s="192" t="str">
        <f t="shared" si="46"/>
        <v>early intervention - needed</v>
      </c>
      <c r="K49" s="192" t="str">
        <f t="shared" si="46"/>
        <v>early_intervention_need</v>
      </c>
      <c r="L49" s="193"/>
      <c r="M49" s="193"/>
      <c r="N49" s="193"/>
      <c r="O49" s="193"/>
      <c r="P49" s="194" t="s">
        <v>4369</v>
      </c>
      <c r="Q49" s="194" t="s">
        <v>4369</v>
      </c>
    </row>
    <row r="50">
      <c r="A50" s="33"/>
      <c r="B50" s="33" t="s">
        <v>4221</v>
      </c>
      <c r="C50" s="12" t="s">
        <v>4370</v>
      </c>
      <c r="D50" s="12" t="s">
        <v>4330</v>
      </c>
      <c r="E50" s="61" t="s">
        <v>4371</v>
      </c>
      <c r="F50" s="121" t="s">
        <v>4372</v>
      </c>
      <c r="G50" s="118"/>
      <c r="H50" s="192" t="str">
        <f t="shared" ref="H50:K50" si="47">lower(C50)</f>
        <v>socialworkforchildreceive</v>
      </c>
      <c r="I50" s="192" t="str">
        <f t="shared" si="47"/>
        <v>receive</v>
      </c>
      <c r="J50" s="192" t="str">
        <f t="shared" si="47"/>
        <v>social work for the child - received</v>
      </c>
      <c r="K50" s="192" t="str">
        <f t="shared" si="47"/>
        <v>social_work_for_child_receive</v>
      </c>
      <c r="L50" s="193"/>
      <c r="M50" s="193"/>
      <c r="N50" s="193"/>
      <c r="O50" s="193"/>
      <c r="P50" s="194" t="s">
        <v>4373</v>
      </c>
      <c r="Q50" s="194" t="s">
        <v>4373</v>
      </c>
    </row>
    <row r="51">
      <c r="A51" s="33"/>
      <c r="B51" s="33" t="s">
        <v>4221</v>
      </c>
      <c r="C51" s="12" t="s">
        <v>4374</v>
      </c>
      <c r="D51" s="12" t="s">
        <v>40</v>
      </c>
      <c r="E51" s="61" t="s">
        <v>4375</v>
      </c>
      <c r="F51" s="121" t="s">
        <v>4376</v>
      </c>
      <c r="G51" s="118"/>
      <c r="H51" s="192" t="str">
        <f t="shared" ref="H51:K51" si="48">lower(C51)</f>
        <v>socialworkforchildneed</v>
      </c>
      <c r="I51" s="192" t="str">
        <f t="shared" si="48"/>
        <v>bool</v>
      </c>
      <c r="J51" s="192" t="str">
        <f t="shared" si="48"/>
        <v>social work for the child - needed</v>
      </c>
      <c r="K51" s="192" t="str">
        <f t="shared" si="48"/>
        <v>social_work_for_child_need</v>
      </c>
      <c r="L51" s="193"/>
      <c r="M51" s="193"/>
      <c r="N51" s="193"/>
      <c r="O51" s="193"/>
      <c r="P51" s="194" t="s">
        <v>4377</v>
      </c>
      <c r="Q51" s="194" t="s">
        <v>4377</v>
      </c>
    </row>
    <row r="52">
      <c r="A52" s="33"/>
      <c r="B52" s="33" t="s">
        <v>4221</v>
      </c>
      <c r="C52" s="12" t="s">
        <v>4378</v>
      </c>
      <c r="D52" s="12" t="s">
        <v>4330</v>
      </c>
      <c r="E52" s="61" t="s">
        <v>4379</v>
      </c>
      <c r="F52" s="121" t="s">
        <v>4380</v>
      </c>
      <c r="G52" s="118"/>
      <c r="H52" s="192" t="str">
        <f t="shared" ref="H52:K52" si="49">lower(C52)</f>
        <v>specialclinicreceive</v>
      </c>
      <c r="I52" s="192" t="str">
        <f t="shared" si="49"/>
        <v>receive</v>
      </c>
      <c r="J52" s="192" t="str">
        <f t="shared" si="49"/>
        <v>special clinical visit - received</v>
      </c>
      <c r="K52" s="192" t="str">
        <f t="shared" si="49"/>
        <v>special_clinic_receive</v>
      </c>
      <c r="L52" s="193"/>
      <c r="M52" s="193"/>
      <c r="N52" s="193"/>
      <c r="O52" s="193"/>
      <c r="P52" s="194" t="s">
        <v>4381</v>
      </c>
      <c r="Q52" s="193"/>
    </row>
    <row r="53">
      <c r="A53" s="33"/>
      <c r="B53" s="33" t="s">
        <v>4221</v>
      </c>
      <c r="C53" s="12" t="s">
        <v>4382</v>
      </c>
      <c r="D53" s="12" t="s">
        <v>40</v>
      </c>
      <c r="E53" s="61" t="s">
        <v>4383</v>
      </c>
      <c r="F53" s="121" t="s">
        <v>4384</v>
      </c>
      <c r="G53" s="118"/>
      <c r="H53" s="192" t="str">
        <f t="shared" ref="H53:K53" si="50">lower(C53)</f>
        <v>specialclinicneed</v>
      </c>
      <c r="I53" s="192" t="str">
        <f t="shared" si="50"/>
        <v>bool</v>
      </c>
      <c r="J53" s="192" t="str">
        <f t="shared" si="50"/>
        <v>special clinical visit - needed</v>
      </c>
      <c r="K53" s="192" t="str">
        <f t="shared" si="50"/>
        <v>special_clinic_need</v>
      </c>
      <c r="L53" s="193"/>
      <c r="M53" s="193"/>
      <c r="N53" s="193"/>
      <c r="O53" s="193"/>
      <c r="P53" s="194" t="s">
        <v>4385</v>
      </c>
      <c r="Q53" s="193"/>
    </row>
    <row r="54">
      <c r="A54" s="33"/>
      <c r="B54" s="33" t="s">
        <v>4221</v>
      </c>
      <c r="C54" s="12" t="s">
        <v>4386</v>
      </c>
      <c r="D54" s="12" t="s">
        <v>4330</v>
      </c>
      <c r="E54" s="61" t="s">
        <v>4387</v>
      </c>
      <c r="F54" s="121" t="s">
        <v>4388</v>
      </c>
      <c r="G54" s="118"/>
      <c r="H54" s="192" t="str">
        <f t="shared" ref="H54:K54" si="51">lower(C54)</f>
        <v>pulmonaryreceive</v>
      </c>
      <c r="I54" s="192" t="str">
        <f t="shared" si="51"/>
        <v>receive</v>
      </c>
      <c r="J54" s="192" t="str">
        <f t="shared" si="51"/>
        <v>pulmonary - received</v>
      </c>
      <c r="K54" s="192" t="str">
        <f t="shared" si="51"/>
        <v>pulmonary_receive</v>
      </c>
      <c r="L54" s="193"/>
      <c r="M54" s="193"/>
      <c r="N54" s="193"/>
      <c r="O54" s="193"/>
      <c r="P54" s="194" t="s">
        <v>4389</v>
      </c>
      <c r="Q54" s="194" t="s">
        <v>4389</v>
      </c>
    </row>
    <row r="55">
      <c r="A55" s="33"/>
      <c r="B55" s="33" t="s">
        <v>4221</v>
      </c>
      <c r="C55" s="12" t="s">
        <v>4390</v>
      </c>
      <c r="D55" s="12" t="s">
        <v>40</v>
      </c>
      <c r="E55" s="61" t="s">
        <v>4391</v>
      </c>
      <c r="F55" s="121" t="s">
        <v>4392</v>
      </c>
      <c r="G55" s="118"/>
      <c r="H55" s="192" t="str">
        <f t="shared" ref="H55:K55" si="52">lower(C55)</f>
        <v>pulmonaryneed</v>
      </c>
      <c r="I55" s="192" t="str">
        <f t="shared" si="52"/>
        <v>bool</v>
      </c>
      <c r="J55" s="192" t="str">
        <f t="shared" si="52"/>
        <v>pulmonary - needed</v>
      </c>
      <c r="K55" s="192" t="str">
        <f t="shared" si="52"/>
        <v>pulmonary_need</v>
      </c>
      <c r="L55" s="193"/>
      <c r="M55" s="193"/>
      <c r="N55" s="193"/>
      <c r="O55" s="193"/>
      <c r="P55" s="194" t="s">
        <v>4393</v>
      </c>
      <c r="Q55" s="194" t="s">
        <v>4393</v>
      </c>
    </row>
    <row r="56">
      <c r="A56" s="33"/>
      <c r="B56" s="33" t="s">
        <v>4221</v>
      </c>
      <c r="C56" s="12" t="s">
        <v>4394</v>
      </c>
      <c r="D56" s="12" t="s">
        <v>4330</v>
      </c>
      <c r="E56" s="61" t="s">
        <v>4395</v>
      </c>
      <c r="F56" s="121" t="s">
        <v>4396</v>
      </c>
      <c r="G56" s="118"/>
      <c r="H56" s="192" t="str">
        <f t="shared" ref="H56:K56" si="53">lower(C56)</f>
        <v>ophthalmologicreceive</v>
      </c>
      <c r="I56" s="192" t="str">
        <f t="shared" si="53"/>
        <v>receive</v>
      </c>
      <c r="J56" s="192" t="str">
        <f t="shared" si="53"/>
        <v>ophthalmologic - received</v>
      </c>
      <c r="K56" s="192" t="str">
        <f t="shared" si="53"/>
        <v>ophthalmologic_receive</v>
      </c>
      <c r="L56" s="193"/>
      <c r="M56" s="193"/>
      <c r="N56" s="193"/>
      <c r="O56" s="193"/>
      <c r="P56" s="194" t="s">
        <v>4397</v>
      </c>
      <c r="Q56" s="194" t="s">
        <v>4397</v>
      </c>
    </row>
    <row r="57">
      <c r="A57" s="33"/>
      <c r="B57" s="33" t="s">
        <v>4221</v>
      </c>
      <c r="C57" s="12" t="s">
        <v>4398</v>
      </c>
      <c r="D57" s="12" t="s">
        <v>40</v>
      </c>
      <c r="E57" s="61" t="s">
        <v>4399</v>
      </c>
      <c r="F57" s="121" t="s">
        <v>4400</v>
      </c>
      <c r="G57" s="118"/>
      <c r="H57" s="192" t="str">
        <f t="shared" ref="H57:K57" si="54">lower(C57)</f>
        <v>ophthalmologicneed</v>
      </c>
      <c r="I57" s="192" t="str">
        <f t="shared" si="54"/>
        <v>bool</v>
      </c>
      <c r="J57" s="192" t="str">
        <f t="shared" si="54"/>
        <v>ophthalmologic - needed</v>
      </c>
      <c r="K57" s="192" t="str">
        <f t="shared" si="54"/>
        <v>ophthalmologic_need</v>
      </c>
      <c r="L57" s="193"/>
      <c r="M57" s="193"/>
      <c r="N57" s="193"/>
      <c r="O57" s="193"/>
      <c r="P57" s="194" t="s">
        <v>4401</v>
      </c>
      <c r="Q57" s="194" t="s">
        <v>4401</v>
      </c>
    </row>
    <row r="58">
      <c r="A58" s="33"/>
      <c r="B58" s="33" t="s">
        <v>4221</v>
      </c>
      <c r="C58" s="12" t="s">
        <v>4402</v>
      </c>
      <c r="D58" s="12" t="s">
        <v>4330</v>
      </c>
      <c r="E58" s="61" t="s">
        <v>4403</v>
      </c>
      <c r="F58" s="121" t="s">
        <v>4404</v>
      </c>
      <c r="G58" s="118"/>
      <c r="H58" s="192" t="str">
        <f t="shared" ref="H58:K58" si="55">lower(C58)</f>
        <v>gastrointestinalreceive</v>
      </c>
      <c r="I58" s="192" t="str">
        <f t="shared" si="55"/>
        <v>receive</v>
      </c>
      <c r="J58" s="192" t="str">
        <f t="shared" si="55"/>
        <v>gastrointestinal - received</v>
      </c>
      <c r="K58" s="192" t="str">
        <f t="shared" si="55"/>
        <v>gastrointestinal_receive</v>
      </c>
      <c r="L58" s="193"/>
      <c r="M58" s="193"/>
      <c r="N58" s="193"/>
      <c r="O58" s="193"/>
      <c r="P58" s="194" t="s">
        <v>4405</v>
      </c>
      <c r="Q58" s="194" t="s">
        <v>4405</v>
      </c>
    </row>
    <row r="59">
      <c r="A59" s="33"/>
      <c r="B59" s="33" t="s">
        <v>4221</v>
      </c>
      <c r="C59" s="12" t="s">
        <v>4406</v>
      </c>
      <c r="D59" s="12" t="s">
        <v>40</v>
      </c>
      <c r="E59" s="61" t="s">
        <v>4407</v>
      </c>
      <c r="F59" s="121" t="s">
        <v>4408</v>
      </c>
      <c r="G59" s="118"/>
      <c r="H59" s="192" t="str">
        <f t="shared" ref="H59:K59" si="56">lower(C59)</f>
        <v>gastrointestinalneed</v>
      </c>
      <c r="I59" s="192" t="str">
        <f t="shared" si="56"/>
        <v>bool</v>
      </c>
      <c r="J59" s="192" t="str">
        <f t="shared" si="56"/>
        <v>gastrointestinal - needed</v>
      </c>
      <c r="K59" s="192" t="str">
        <f t="shared" si="56"/>
        <v>gastrointestinal_need</v>
      </c>
      <c r="L59" s="193"/>
      <c r="M59" s="193"/>
      <c r="N59" s="193"/>
      <c r="O59" s="193"/>
      <c r="P59" s="194" t="s">
        <v>4409</v>
      </c>
      <c r="Q59" s="194" t="s">
        <v>4409</v>
      </c>
    </row>
    <row r="60">
      <c r="A60" s="33"/>
      <c r="B60" s="33" t="s">
        <v>4221</v>
      </c>
      <c r="C60" s="12" t="s">
        <v>4410</v>
      </c>
      <c r="D60" s="12" t="s">
        <v>4330</v>
      </c>
      <c r="E60" s="61" t="s">
        <v>4411</v>
      </c>
      <c r="F60" s="121" t="s">
        <v>4412</v>
      </c>
      <c r="G60" s="118"/>
      <c r="H60" s="192" t="str">
        <f t="shared" ref="H60:K60" si="57">lower(C60)</f>
        <v>audiologicreceive</v>
      </c>
      <c r="I60" s="192" t="str">
        <f t="shared" si="57"/>
        <v>receive</v>
      </c>
      <c r="J60" s="192" t="str">
        <f t="shared" si="57"/>
        <v>audiologic - received</v>
      </c>
      <c r="K60" s="192" t="str">
        <f t="shared" si="57"/>
        <v>audiologic_receive</v>
      </c>
      <c r="L60" s="193"/>
      <c r="M60" s="193"/>
      <c r="N60" s="193"/>
      <c r="O60" s="193"/>
      <c r="P60" s="194" t="s">
        <v>4413</v>
      </c>
      <c r="Q60" s="194" t="s">
        <v>4413</v>
      </c>
    </row>
    <row r="61">
      <c r="A61" s="33"/>
      <c r="B61" s="33" t="s">
        <v>4221</v>
      </c>
      <c r="C61" s="12" t="s">
        <v>4414</v>
      </c>
      <c r="D61" s="12" t="s">
        <v>40</v>
      </c>
      <c r="E61" s="61" t="s">
        <v>4415</v>
      </c>
      <c r="F61" s="121" t="s">
        <v>4416</v>
      </c>
      <c r="G61" s="118"/>
      <c r="H61" s="192" t="str">
        <f t="shared" ref="H61:K61" si="58">lower(C61)</f>
        <v>audiologicneed</v>
      </c>
      <c r="I61" s="192" t="str">
        <f t="shared" si="58"/>
        <v>bool</v>
      </c>
      <c r="J61" s="192" t="str">
        <f t="shared" si="58"/>
        <v>audiologic - needed</v>
      </c>
      <c r="K61" s="192" t="str">
        <f t="shared" si="58"/>
        <v>audiologic_need</v>
      </c>
      <c r="L61" s="193"/>
      <c r="M61" s="193"/>
      <c r="N61" s="193"/>
      <c r="O61" s="193"/>
      <c r="P61" s="194" t="s">
        <v>4417</v>
      </c>
      <c r="Q61" s="194" t="s">
        <v>4417</v>
      </c>
    </row>
    <row r="62">
      <c r="A62" s="33"/>
      <c r="B62" s="33" t="s">
        <v>4221</v>
      </c>
      <c r="C62" s="12" t="s">
        <v>4418</v>
      </c>
      <c r="D62" s="12" t="s">
        <v>4330</v>
      </c>
      <c r="E62" s="61" t="s">
        <v>4419</v>
      </c>
      <c r="F62" s="121" t="s">
        <v>4420</v>
      </c>
      <c r="G62" s="118"/>
      <c r="H62" s="192" t="str">
        <f t="shared" ref="H62:K62" si="59">lower(C62)</f>
        <v>neurologicreceive</v>
      </c>
      <c r="I62" s="192" t="str">
        <f t="shared" si="59"/>
        <v>receive</v>
      </c>
      <c r="J62" s="192" t="str">
        <f t="shared" si="59"/>
        <v>neurologic - received</v>
      </c>
      <c r="K62" s="192" t="str">
        <f t="shared" si="59"/>
        <v>neurologic_receive</v>
      </c>
      <c r="L62" s="193"/>
      <c r="M62" s="193"/>
      <c r="N62" s="193"/>
      <c r="O62" s="193"/>
      <c r="P62" s="194" t="s">
        <v>4421</v>
      </c>
      <c r="Q62" s="194" t="s">
        <v>4421</v>
      </c>
    </row>
    <row r="63">
      <c r="A63" s="33"/>
      <c r="B63" s="33" t="s">
        <v>4221</v>
      </c>
      <c r="C63" s="12" t="s">
        <v>4422</v>
      </c>
      <c r="D63" s="12" t="s">
        <v>40</v>
      </c>
      <c r="E63" s="61" t="s">
        <v>4423</v>
      </c>
      <c r="F63" s="121" t="s">
        <v>4424</v>
      </c>
      <c r="G63" s="118"/>
      <c r="H63" s="192" t="str">
        <f t="shared" ref="H63:K63" si="60">lower(C63)</f>
        <v>neurologicneed</v>
      </c>
      <c r="I63" s="192" t="str">
        <f t="shared" si="60"/>
        <v>bool</v>
      </c>
      <c r="J63" s="192" t="str">
        <f t="shared" si="60"/>
        <v>neurologic - needed</v>
      </c>
      <c r="K63" s="192" t="str">
        <f t="shared" si="60"/>
        <v>neurologic_need</v>
      </c>
      <c r="L63" s="193"/>
      <c r="M63" s="193"/>
      <c r="N63" s="193"/>
      <c r="O63" s="193"/>
      <c r="P63" s="194" t="s">
        <v>4425</v>
      </c>
      <c r="Q63" s="194" t="s">
        <v>4425</v>
      </c>
    </row>
    <row r="64">
      <c r="A64" s="33"/>
      <c r="B64" s="33" t="s">
        <v>4221</v>
      </c>
      <c r="C64" s="12" t="s">
        <v>4426</v>
      </c>
      <c r="D64" s="12" t="s">
        <v>4330</v>
      </c>
      <c r="E64" s="61" t="s">
        <v>4427</v>
      </c>
      <c r="F64" s="121" t="s">
        <v>4428</v>
      </c>
      <c r="G64" s="118"/>
      <c r="H64" s="192" t="str">
        <f t="shared" ref="H64:K64" si="61">lower(C64)</f>
        <v>otherreceive</v>
      </c>
      <c r="I64" s="192" t="str">
        <f t="shared" si="61"/>
        <v>receive</v>
      </c>
      <c r="J64" s="192" t="str">
        <f t="shared" si="61"/>
        <v>other - received</v>
      </c>
      <c r="K64" s="192" t="str">
        <f t="shared" si="61"/>
        <v>other_receive</v>
      </c>
      <c r="L64" s="193"/>
      <c r="M64" s="193"/>
      <c r="N64" s="193"/>
      <c r="O64" s="193"/>
      <c r="P64" s="194" t="s">
        <v>4429</v>
      </c>
      <c r="Q64" s="194" t="s">
        <v>4429</v>
      </c>
    </row>
    <row r="65">
      <c r="A65" s="33"/>
      <c r="B65" s="33" t="s">
        <v>4221</v>
      </c>
      <c r="C65" s="12" t="s">
        <v>4430</v>
      </c>
      <c r="D65" s="12" t="s">
        <v>40</v>
      </c>
      <c r="E65" s="61" t="s">
        <v>4431</v>
      </c>
      <c r="F65" s="121" t="s">
        <v>4432</v>
      </c>
      <c r="G65" s="118"/>
      <c r="H65" s="192" t="str">
        <f t="shared" ref="H65:K65" si="62">lower(C65)</f>
        <v>otherneed</v>
      </c>
      <c r="I65" s="192" t="str">
        <f t="shared" si="62"/>
        <v>bool</v>
      </c>
      <c r="J65" s="192" t="str">
        <f t="shared" si="62"/>
        <v>other - needed</v>
      </c>
      <c r="K65" s="192" t="str">
        <f t="shared" si="62"/>
        <v>other_need</v>
      </c>
      <c r="L65" s="193"/>
      <c r="M65" s="193"/>
      <c r="N65" s="193"/>
      <c r="O65" s="193"/>
      <c r="P65" s="194" t="s">
        <v>4433</v>
      </c>
      <c r="Q65" s="194" t="s">
        <v>4433</v>
      </c>
    </row>
    <row r="66">
      <c r="A66" s="33"/>
      <c r="B66" s="33" t="s">
        <v>4221</v>
      </c>
      <c r="C66" s="12" t="s">
        <v>4434</v>
      </c>
      <c r="D66" s="12" t="s">
        <v>16</v>
      </c>
      <c r="E66" s="61" t="s">
        <v>3128</v>
      </c>
      <c r="F66" s="121" t="s">
        <v>4435</v>
      </c>
      <c r="G66" s="118"/>
      <c r="H66" s="192" t="str">
        <f t="shared" ref="H66:K66" si="63">lower(C66)</f>
        <v>otherneedtext</v>
      </c>
      <c r="I66" s="192" t="str">
        <f t="shared" si="63"/>
        <v>text</v>
      </c>
      <c r="J66" s="192" t="str">
        <f t="shared" si="63"/>
        <v>other - specify</v>
      </c>
      <c r="K66" s="192" t="str">
        <f t="shared" si="63"/>
        <v>other_need_text</v>
      </c>
      <c r="L66" s="193"/>
      <c r="M66" s="193"/>
      <c r="N66" s="193"/>
      <c r="O66" s="193"/>
      <c r="P66" s="194" t="s">
        <v>4436</v>
      </c>
      <c r="Q66" s="194" t="s">
        <v>4436</v>
      </c>
    </row>
    <row r="67">
      <c r="A67" s="33"/>
      <c r="B67" s="33" t="s">
        <v>4221</v>
      </c>
      <c r="C67" s="12" t="s">
        <v>4437</v>
      </c>
      <c r="D67" s="12" t="s">
        <v>4330</v>
      </c>
      <c r="E67" s="61" t="s">
        <v>4438</v>
      </c>
      <c r="F67" s="121" t="s">
        <v>4439</v>
      </c>
      <c r="G67" s="118"/>
      <c r="H67" s="192" t="str">
        <f t="shared" ref="H67:K67" si="64">lower(C67)</f>
        <v>neurodevelopmentreceive</v>
      </c>
      <c r="I67" s="192" t="str">
        <f t="shared" si="64"/>
        <v>receive</v>
      </c>
      <c r="J67" s="192" t="str">
        <f t="shared" si="64"/>
        <v>neuraldevelopment - received</v>
      </c>
      <c r="K67" s="192" t="str">
        <f t="shared" si="64"/>
        <v>neurodevelopment_receive</v>
      </c>
      <c r="L67" s="193"/>
      <c r="M67" s="193"/>
      <c r="N67" s="193"/>
      <c r="O67" s="193"/>
      <c r="P67" s="194" t="s">
        <v>4440</v>
      </c>
      <c r="Q67" s="194" t="s">
        <v>4440</v>
      </c>
    </row>
    <row r="68">
      <c r="A68" s="33"/>
      <c r="B68" s="33" t="s">
        <v>4221</v>
      </c>
      <c r="C68" s="12" t="s">
        <v>4441</v>
      </c>
      <c r="D68" s="12" t="s">
        <v>40</v>
      </c>
      <c r="E68" s="61" t="s">
        <v>4442</v>
      </c>
      <c r="F68" s="121" t="s">
        <v>4443</v>
      </c>
      <c r="G68" s="118"/>
      <c r="H68" s="192" t="str">
        <f t="shared" ref="H68:K68" si="65">lower(C68)</f>
        <v>neurodevelopmentneed</v>
      </c>
      <c r="I68" s="192" t="str">
        <f t="shared" si="65"/>
        <v>bool</v>
      </c>
      <c r="J68" s="192" t="str">
        <f t="shared" si="65"/>
        <v>neuraldevelopment - needed</v>
      </c>
      <c r="K68" s="192" t="str">
        <f t="shared" si="65"/>
        <v>neurodevelopment_need</v>
      </c>
      <c r="L68" s="193"/>
      <c r="M68" s="193"/>
      <c r="N68" s="193"/>
      <c r="O68" s="193"/>
      <c r="P68" s="194" t="s">
        <v>4444</v>
      </c>
      <c r="Q68" s="194" t="s">
        <v>4444</v>
      </c>
    </row>
    <row r="69">
      <c r="A69" s="33"/>
      <c r="B69" s="33" t="s">
        <v>4221</v>
      </c>
      <c r="C69" s="12" t="s">
        <v>4445</v>
      </c>
      <c r="D69" s="12" t="s">
        <v>4330</v>
      </c>
      <c r="E69" s="61" t="s">
        <v>4446</v>
      </c>
      <c r="F69" s="121" t="s">
        <v>4447</v>
      </c>
      <c r="G69" s="118"/>
      <c r="H69" s="192" t="str">
        <f t="shared" ref="H69:K69" si="66">lower(C69)</f>
        <v>prematurefollowupclinicreceive</v>
      </c>
      <c r="I69" s="192" t="str">
        <f t="shared" si="66"/>
        <v>receive</v>
      </c>
      <c r="J69" s="192" t="str">
        <f t="shared" si="66"/>
        <v>premature followup clinic - received</v>
      </c>
      <c r="K69" s="192" t="str">
        <f t="shared" si="66"/>
        <v>premature_followup_clinic_receive</v>
      </c>
      <c r="L69" s="193"/>
      <c r="M69" s="193"/>
      <c r="N69" s="193"/>
      <c r="O69" s="193"/>
      <c r="P69" s="194" t="s">
        <v>4448</v>
      </c>
      <c r="Q69" s="193"/>
    </row>
    <row r="70">
      <c r="A70" s="33"/>
      <c r="B70" s="33" t="s">
        <v>4221</v>
      </c>
      <c r="C70" s="12" t="s">
        <v>4449</v>
      </c>
      <c r="D70" s="12" t="s">
        <v>40</v>
      </c>
      <c r="E70" s="61" t="s">
        <v>4450</v>
      </c>
      <c r="F70" s="121" t="s">
        <v>4451</v>
      </c>
      <c r="G70" s="118"/>
      <c r="H70" s="192" t="str">
        <f t="shared" ref="H70:K70" si="67">lower(C70)</f>
        <v>prematurefollowupclinicneed</v>
      </c>
      <c r="I70" s="192" t="str">
        <f t="shared" si="67"/>
        <v>bool</v>
      </c>
      <c r="J70" s="192" t="str">
        <f t="shared" si="67"/>
        <v>premature followup clinic - needed</v>
      </c>
      <c r="K70" s="192" t="str">
        <f t="shared" si="67"/>
        <v>premature_followup_clinic_need</v>
      </c>
      <c r="L70" s="193"/>
      <c r="M70" s="193"/>
      <c r="N70" s="193"/>
      <c r="O70" s="193"/>
      <c r="P70" s="194" t="s">
        <v>4452</v>
      </c>
      <c r="Q70" s="193"/>
    </row>
    <row r="71">
      <c r="A71" s="33"/>
      <c r="B71" s="33" t="s">
        <v>4221</v>
      </c>
      <c r="C71" s="12" t="s">
        <v>4453</v>
      </c>
      <c r="D71" s="12" t="s">
        <v>40</v>
      </c>
      <c r="E71" s="61" t="s">
        <v>4454</v>
      </c>
      <c r="F71" s="121" t="s">
        <v>4455</v>
      </c>
      <c r="G71" s="118"/>
      <c r="H71" s="192" t="str">
        <f t="shared" ref="H71:K71" si="68">lower(C71)</f>
        <v>regulardoctor</v>
      </c>
      <c r="I71" s="192" t="str">
        <f t="shared" si="68"/>
        <v>bool</v>
      </c>
      <c r="J71" s="192" t="str">
        <f t="shared" si="68"/>
        <v>does the child have a regular doctor?</v>
      </c>
      <c r="K71" s="192" t="str">
        <f t="shared" si="68"/>
        <v>regular_doctor</v>
      </c>
      <c r="L71" s="193"/>
      <c r="M71" s="193"/>
      <c r="N71" s="193"/>
      <c r="O71" s="193"/>
      <c r="P71" s="194" t="s">
        <v>4456</v>
      </c>
      <c r="Q71" s="194" t="s">
        <v>4456</v>
      </c>
    </row>
    <row r="72">
      <c r="A72" s="33"/>
      <c r="B72" s="33" t="s">
        <v>4221</v>
      </c>
      <c r="C72" s="12" t="s">
        <v>4457</v>
      </c>
      <c r="D72" s="12" t="s">
        <v>40</v>
      </c>
      <c r="E72" s="61" t="s">
        <v>4458</v>
      </c>
      <c r="F72" s="121" t="s">
        <v>4459</v>
      </c>
      <c r="G72" s="118"/>
      <c r="H72" s="192" t="str">
        <f t="shared" ref="H72:K72" si="69">lower(C72)</f>
        <v>residechroniccarefacility</v>
      </c>
      <c r="I72" s="192" t="str">
        <f t="shared" si="69"/>
        <v>bool</v>
      </c>
      <c r="J72" s="192" t="str">
        <f t="shared" si="69"/>
        <v>does the child reside in a chronic care facility?</v>
      </c>
      <c r="K72" s="192" t="str">
        <f t="shared" si="69"/>
        <v>reside_chronic_care_facility</v>
      </c>
      <c r="L72" s="193"/>
      <c r="M72" s="193"/>
      <c r="N72" s="193"/>
      <c r="O72" s="193"/>
      <c r="P72" s="194" t="s">
        <v>4460</v>
      </c>
      <c r="Q72" s="194" t="s">
        <v>4460</v>
      </c>
    </row>
    <row r="73">
      <c r="A73" s="33"/>
      <c r="B73" s="33" t="s">
        <v>4221</v>
      </c>
      <c r="C73" s="12" t="s">
        <v>4461</v>
      </c>
      <c r="D73" s="12" t="s">
        <v>40</v>
      </c>
      <c r="E73" s="61" t="s">
        <v>4462</v>
      </c>
      <c r="F73" s="121" t="s">
        <v>4463</v>
      </c>
      <c r="G73" s="118"/>
      <c r="H73" s="192" t="str">
        <f t="shared" ref="H73:K73" si="70">lower(C73)</f>
        <v>takencareofbyother</v>
      </c>
      <c r="I73" s="192" t="str">
        <f t="shared" si="70"/>
        <v>bool</v>
      </c>
      <c r="J73" s="192" t="str">
        <f t="shared" si="70"/>
        <v>does the child taken care of by someone other than the primary caregiver?</v>
      </c>
      <c r="K73" s="192" t="str">
        <f t="shared" si="70"/>
        <v>taken_care_of_by_other</v>
      </c>
      <c r="L73" s="193"/>
      <c r="M73" s="193"/>
      <c r="N73" s="193"/>
      <c r="O73" s="193"/>
      <c r="P73" s="194" t="s">
        <v>4464</v>
      </c>
      <c r="Q73" s="194" t="s">
        <v>4464</v>
      </c>
    </row>
    <row r="74">
      <c r="A74" s="33"/>
      <c r="B74" s="33" t="s">
        <v>4221</v>
      </c>
      <c r="C74" s="12" t="s">
        <v>4465</v>
      </c>
      <c r="D74" s="12" t="s">
        <v>40</v>
      </c>
      <c r="E74" s="61" t="s">
        <v>4466</v>
      </c>
      <c r="F74" s="121" t="s">
        <v>4467</v>
      </c>
      <c r="G74" s="118"/>
      <c r="H74" s="192" t="str">
        <f t="shared" ref="H74:K74" si="71">lower(C74)</f>
        <v>traditionalcentercare</v>
      </c>
      <c r="I74" s="192" t="str">
        <f t="shared" si="71"/>
        <v>bool</v>
      </c>
      <c r="J74" s="192" t="str">
        <f t="shared" si="71"/>
        <v>traditional center-based day/child care</v>
      </c>
      <c r="K74" s="192" t="str">
        <f t="shared" si="71"/>
        <v>traditional_center_care</v>
      </c>
      <c r="L74" s="193"/>
      <c r="M74" s="193"/>
      <c r="N74" s="193"/>
      <c r="O74" s="193"/>
      <c r="P74" s="194" t="s">
        <v>4468</v>
      </c>
      <c r="Q74" s="194" t="s">
        <v>4468</v>
      </c>
    </row>
    <row r="75">
      <c r="A75" s="33"/>
      <c r="B75" s="33" t="s">
        <v>4221</v>
      </c>
      <c r="C75" s="12" t="s">
        <v>4469</v>
      </c>
      <c r="D75" s="12" t="s">
        <v>31</v>
      </c>
      <c r="E75" s="61" t="s">
        <v>4470</v>
      </c>
      <c r="F75" s="121" t="s">
        <v>4471</v>
      </c>
      <c r="G75" s="118"/>
      <c r="H75" s="192" t="str">
        <f t="shared" ref="H75:K75" si="72">lower(C75)</f>
        <v>traditionalcentercareavghrperweek</v>
      </c>
      <c r="I75" s="192" t="str">
        <f t="shared" si="72"/>
        <v>int</v>
      </c>
      <c r="J75" s="192" t="str">
        <f t="shared" si="72"/>
        <v>traditional center-based day/child care- average hours per week</v>
      </c>
      <c r="K75" s="192" t="str">
        <f t="shared" si="72"/>
        <v>traditional_center_care_avg_hr_per_week</v>
      </c>
      <c r="L75" s="193"/>
      <c r="M75" s="193"/>
      <c r="N75" s="193"/>
      <c r="O75" s="193"/>
      <c r="P75" s="194" t="s">
        <v>4472</v>
      </c>
      <c r="Q75" s="194" t="s">
        <v>4472</v>
      </c>
    </row>
    <row r="76">
      <c r="A76" s="33"/>
      <c r="B76" s="33" t="s">
        <v>4221</v>
      </c>
      <c r="C76" s="12" t="s">
        <v>4473</v>
      </c>
      <c r="D76" s="12" t="s">
        <v>40</v>
      </c>
      <c r="E76" s="61" t="s">
        <v>4474</v>
      </c>
      <c r="F76" s="121" t="s">
        <v>4475</v>
      </c>
      <c r="G76" s="118"/>
      <c r="H76" s="192" t="str">
        <f t="shared" ref="H76:K76" si="73">lower(C76)</f>
        <v>medicalchildcare</v>
      </c>
      <c r="I76" s="192" t="str">
        <f t="shared" si="73"/>
        <v>bool</v>
      </c>
      <c r="J76" s="192" t="str">
        <f t="shared" si="73"/>
        <v>medical child care by medical professionals</v>
      </c>
      <c r="K76" s="192" t="str">
        <f t="shared" si="73"/>
        <v>medical_child_care</v>
      </c>
      <c r="L76" s="193"/>
      <c r="M76" s="193"/>
      <c r="N76" s="193"/>
      <c r="O76" s="193"/>
      <c r="P76" s="194" t="s">
        <v>4476</v>
      </c>
      <c r="Q76" s="194" t="s">
        <v>4476</v>
      </c>
    </row>
    <row r="77">
      <c r="A77" s="33"/>
      <c r="B77" s="33" t="s">
        <v>4221</v>
      </c>
      <c r="C77" s="12" t="s">
        <v>4477</v>
      </c>
      <c r="D77" s="12" t="s">
        <v>31</v>
      </c>
      <c r="E77" s="61" t="s">
        <v>4478</v>
      </c>
      <c r="F77" s="121" t="s">
        <v>4479</v>
      </c>
      <c r="G77" s="118"/>
      <c r="H77" s="192" t="str">
        <f t="shared" ref="H77:K77" si="74">lower(C77)</f>
        <v>medicalchildcareavghrperweek</v>
      </c>
      <c r="I77" s="192" t="str">
        <f t="shared" si="74"/>
        <v>int</v>
      </c>
      <c r="J77" s="192" t="str">
        <f t="shared" si="74"/>
        <v>medical child care by medical professionals - average hours per week</v>
      </c>
      <c r="K77" s="192" t="str">
        <f t="shared" si="74"/>
        <v>medical_child_care_avg_hr_per_week</v>
      </c>
      <c r="L77" s="193"/>
      <c r="M77" s="193"/>
      <c r="N77" s="193"/>
      <c r="O77" s="193"/>
      <c r="P77" s="194" t="s">
        <v>4480</v>
      </c>
      <c r="Q77" s="194" t="s">
        <v>4480</v>
      </c>
    </row>
    <row r="78">
      <c r="A78" s="33"/>
      <c r="B78" s="33" t="s">
        <v>4221</v>
      </c>
      <c r="C78" s="12" t="s">
        <v>4481</v>
      </c>
      <c r="D78" s="12" t="s">
        <v>4482</v>
      </c>
      <c r="E78" s="61" t="s">
        <v>4483</v>
      </c>
      <c r="F78" s="121" t="s">
        <v>4484</v>
      </c>
      <c r="G78" s="118"/>
      <c r="H78" s="192" t="str">
        <f t="shared" ref="H78:K78" si="75">lower(C78)</f>
        <v>medicalchildcarewhere</v>
      </c>
      <c r="I78" s="192" t="str">
        <f t="shared" si="75"/>
        <v>homecarelocation</v>
      </c>
      <c r="J78" s="192" t="str">
        <f t="shared" si="75"/>
        <v>medical child care by medical professionals - where</v>
      </c>
      <c r="K78" s="192" t="str">
        <f t="shared" si="75"/>
        <v>medical_child_care_where</v>
      </c>
      <c r="L78" s="193"/>
      <c r="M78" s="193"/>
      <c r="N78" s="193"/>
      <c r="O78" s="193"/>
      <c r="P78" s="194" t="s">
        <v>4485</v>
      </c>
      <c r="Q78" s="194" t="s">
        <v>4485</v>
      </c>
    </row>
    <row r="79">
      <c r="A79" s="33"/>
      <c r="B79" s="33" t="s">
        <v>4221</v>
      </c>
      <c r="C79" s="12" t="s">
        <v>4486</v>
      </c>
      <c r="D79" s="12" t="s">
        <v>40</v>
      </c>
      <c r="E79" s="61" t="s">
        <v>4487</v>
      </c>
      <c r="F79" s="121" t="s">
        <v>4488</v>
      </c>
      <c r="G79" s="118"/>
      <c r="H79" s="192" t="str">
        <f t="shared" ref="H79:K79" si="76">lower(C79)</f>
        <v>traditionalhomecare</v>
      </c>
      <c r="I79" s="192" t="str">
        <f t="shared" si="76"/>
        <v>bool</v>
      </c>
      <c r="J79" s="192" t="str">
        <f t="shared" si="76"/>
        <v>traditional home-based day/child care</v>
      </c>
      <c r="K79" s="192" t="str">
        <f t="shared" si="76"/>
        <v>traditional_home_care</v>
      </c>
      <c r="L79" s="193"/>
      <c r="M79" s="193"/>
      <c r="N79" s="193"/>
      <c r="O79" s="193"/>
      <c r="P79" s="194" t="s">
        <v>4489</v>
      </c>
      <c r="Q79" s="194" t="s">
        <v>4489</v>
      </c>
    </row>
    <row r="80">
      <c r="A80" s="33"/>
      <c r="B80" s="33" t="s">
        <v>4221</v>
      </c>
      <c r="C80" s="12" t="s">
        <v>4490</v>
      </c>
      <c r="D80" s="12" t="s">
        <v>31</v>
      </c>
      <c r="E80" s="61" t="s">
        <v>4491</v>
      </c>
      <c r="F80" s="121" t="s">
        <v>4492</v>
      </c>
      <c r="G80" s="118"/>
      <c r="H80" s="192" t="str">
        <f t="shared" ref="H80:K80" si="77">lower(C80)</f>
        <v>traditionalhomecareavghrperweek</v>
      </c>
      <c r="I80" s="192" t="str">
        <f t="shared" si="77"/>
        <v>int</v>
      </c>
      <c r="J80" s="192" t="str">
        <f t="shared" si="77"/>
        <v>traditional home-based day/child care- average hours per week</v>
      </c>
      <c r="K80" s="192" t="str">
        <f t="shared" si="77"/>
        <v>traditional_home_care_avg_hr_per_week</v>
      </c>
      <c r="L80" s="193"/>
      <c r="M80" s="193"/>
      <c r="N80" s="193"/>
      <c r="O80" s="193"/>
      <c r="P80" s="194" t="s">
        <v>4493</v>
      </c>
      <c r="Q80" s="194" t="s">
        <v>4493</v>
      </c>
    </row>
    <row r="81">
      <c r="A81" s="33"/>
      <c r="B81" s="33" t="s">
        <v>4221</v>
      </c>
      <c r="C81" s="12" t="s">
        <v>4494</v>
      </c>
      <c r="D81" s="12" t="s">
        <v>4482</v>
      </c>
      <c r="E81" s="61" t="s">
        <v>4495</v>
      </c>
      <c r="F81" s="121" t="s">
        <v>4496</v>
      </c>
      <c r="G81" s="118"/>
      <c r="H81" s="192" t="str">
        <f t="shared" ref="H81:K81" si="78">lower(C81)</f>
        <v>traditionalhomecarewhose</v>
      </c>
      <c r="I81" s="192" t="str">
        <f t="shared" si="78"/>
        <v>homecarelocation</v>
      </c>
      <c r="J81" s="192" t="str">
        <f t="shared" si="78"/>
        <v>traditional home-based day/child care- whose home</v>
      </c>
      <c r="K81" s="192" t="str">
        <f t="shared" si="78"/>
        <v>traditional_home_care_whose</v>
      </c>
      <c r="L81" s="193"/>
      <c r="M81" s="193"/>
      <c r="N81" s="193"/>
      <c r="O81" s="193"/>
      <c r="P81" s="345" t="s">
        <v>4497</v>
      </c>
      <c r="Q81" s="345" t="s">
        <v>4497</v>
      </c>
    </row>
    <row r="82">
      <c r="A82" s="33"/>
      <c r="B82" s="33" t="s">
        <v>4221</v>
      </c>
      <c r="C82" s="12" t="s">
        <v>4498</v>
      </c>
      <c r="D82" s="12" t="s">
        <v>40</v>
      </c>
      <c r="E82" s="61" t="s">
        <v>4498</v>
      </c>
      <c r="F82" s="121" t="s">
        <v>4498</v>
      </c>
      <c r="G82" s="118"/>
      <c r="H82" s="192" t="str">
        <f t="shared" ref="H82:K82" si="79">lower(C82)</f>
        <v>babysitter</v>
      </c>
      <c r="I82" s="192" t="str">
        <f t="shared" si="79"/>
        <v>bool</v>
      </c>
      <c r="J82" s="192" t="str">
        <f t="shared" si="79"/>
        <v>babysitter</v>
      </c>
      <c r="K82" s="192" t="str">
        <f t="shared" si="79"/>
        <v>babysitter</v>
      </c>
      <c r="L82" s="193"/>
      <c r="M82" s="193"/>
      <c r="N82" s="193"/>
      <c r="O82" s="193"/>
      <c r="P82" s="194" t="s">
        <v>4499</v>
      </c>
      <c r="Q82" s="194" t="s">
        <v>4499</v>
      </c>
    </row>
    <row r="83">
      <c r="A83" s="33"/>
      <c r="B83" s="33" t="s">
        <v>4221</v>
      </c>
      <c r="C83" s="12" t="s">
        <v>4500</v>
      </c>
      <c r="D83" s="12" t="s">
        <v>31</v>
      </c>
      <c r="E83" s="61" t="s">
        <v>4501</v>
      </c>
      <c r="F83" s="121" t="s">
        <v>4502</v>
      </c>
      <c r="G83" s="118"/>
      <c r="H83" s="192" t="str">
        <f t="shared" ref="H83:K83" si="80">lower(C83)</f>
        <v>babysitteravghrperweek</v>
      </c>
      <c r="I83" s="192" t="str">
        <f t="shared" si="80"/>
        <v>int</v>
      </c>
      <c r="J83" s="192" t="str">
        <f t="shared" si="80"/>
        <v>babysitter - average hours to week</v>
      </c>
      <c r="K83" s="192" t="str">
        <f t="shared" si="80"/>
        <v>babysitter_avg_hr_per_week</v>
      </c>
      <c r="L83" s="193"/>
      <c r="M83" s="193"/>
      <c r="N83" s="193"/>
      <c r="O83" s="193"/>
      <c r="P83" s="194" t="s">
        <v>4503</v>
      </c>
      <c r="Q83" s="194" t="s">
        <v>4503</v>
      </c>
    </row>
    <row r="84">
      <c r="A84" s="33"/>
      <c r="B84" s="33" t="s">
        <v>4221</v>
      </c>
      <c r="C84" s="12" t="s">
        <v>4504</v>
      </c>
      <c r="D84" s="12" t="s">
        <v>4504</v>
      </c>
      <c r="E84" s="61" t="s">
        <v>4505</v>
      </c>
      <c r="F84" s="121" t="s">
        <v>4506</v>
      </c>
      <c r="G84" s="118"/>
      <c r="H84" s="192" t="str">
        <f t="shared" ref="H84:K84" si="81">lower(C84)</f>
        <v>babysitterrelation</v>
      </c>
      <c r="I84" s="192" t="str">
        <f t="shared" si="81"/>
        <v>babysitterrelation</v>
      </c>
      <c r="J84" s="192" t="str">
        <f t="shared" si="81"/>
        <v>babysitter - relation to the child</v>
      </c>
      <c r="K84" s="192" t="str">
        <f t="shared" si="81"/>
        <v>babysitter_relation</v>
      </c>
      <c r="L84" s="193"/>
      <c r="M84" s="193"/>
      <c r="N84" s="193"/>
      <c r="O84" s="193"/>
      <c r="P84" s="194" t="s">
        <v>4507</v>
      </c>
      <c r="Q84" s="194" t="s">
        <v>4507</v>
      </c>
    </row>
    <row r="85">
      <c r="A85" s="33"/>
      <c r="B85" s="33"/>
      <c r="C85" s="118"/>
      <c r="D85" s="118"/>
      <c r="E85" s="61" t="s">
        <v>8453</v>
      </c>
      <c r="F85" s="121" t="s">
        <v>851</v>
      </c>
      <c r="G85" s="118"/>
      <c r="H85" s="192" t="str">
        <f t="shared" ref="H85:K85" si="82">lower(C85)</f>
        <v/>
      </c>
      <c r="I85" s="192" t="str">
        <f t="shared" si="82"/>
        <v/>
      </c>
      <c r="J85" s="192" t="str">
        <f t="shared" si="82"/>
        <v>primary responder (form filler)</v>
      </c>
      <c r="K85" s="192" t="str">
        <f t="shared" si="82"/>
        <v/>
      </c>
      <c r="L85" s="193"/>
      <c r="M85" s="193"/>
      <c r="N85" s="193"/>
      <c r="O85" s="193"/>
      <c r="P85" s="194" t="s">
        <v>8454</v>
      </c>
      <c r="Q85" s="194" t="s">
        <v>8454</v>
      </c>
    </row>
    <row r="86">
      <c r="A86" s="33" t="s">
        <v>4205</v>
      </c>
      <c r="B86" s="33" t="s">
        <v>4221</v>
      </c>
      <c r="C86" s="12" t="s">
        <v>4508</v>
      </c>
      <c r="D86" s="12" t="s">
        <v>4509</v>
      </c>
      <c r="E86" s="61" t="s">
        <v>4510</v>
      </c>
      <c r="F86" s="121" t="s">
        <v>4511</v>
      </c>
      <c r="G86" s="118"/>
      <c r="H86" s="192" t="str">
        <f t="shared" ref="H86:K86" si="83">lower(C86)</f>
        <v>sesinterviewwhere</v>
      </c>
      <c r="I86" s="192" t="str">
        <f t="shared" si="83"/>
        <v>interviewlocation</v>
      </c>
      <c r="J86" s="192" t="str">
        <f t="shared" si="83"/>
        <v>where was interview conducted</v>
      </c>
      <c r="K86" s="192" t="str">
        <f t="shared" si="83"/>
        <v>ses_interview_where</v>
      </c>
      <c r="L86" s="193"/>
      <c r="M86" s="193"/>
      <c r="N86" s="193"/>
      <c r="O86" s="193"/>
      <c r="P86" s="194" t="s">
        <v>4512</v>
      </c>
      <c r="Q86" s="194" t="s">
        <v>4512</v>
      </c>
    </row>
    <row r="87">
      <c r="A87" s="33"/>
      <c r="B87" s="33" t="s">
        <v>4221</v>
      </c>
      <c r="C87" s="12" t="s">
        <v>4513</v>
      </c>
      <c r="D87" s="12" t="s">
        <v>26</v>
      </c>
      <c r="E87" s="61" t="s">
        <v>4514</v>
      </c>
      <c r="F87" s="121" t="s">
        <v>4515</v>
      </c>
      <c r="G87" s="118"/>
      <c r="H87" s="192" t="str">
        <f t="shared" ref="H87:K87" si="84">lower(C87)</f>
        <v>sesinterviewdate</v>
      </c>
      <c r="I87" s="192" t="str">
        <f t="shared" si="84"/>
        <v>date</v>
      </c>
      <c r="J87" s="192" t="str">
        <f t="shared" si="84"/>
        <v>date of ses interview</v>
      </c>
      <c r="K87" s="192" t="str">
        <f t="shared" si="84"/>
        <v>ses_interview_date</v>
      </c>
      <c r="L87" s="193"/>
      <c r="M87" s="193"/>
      <c r="N87" s="193"/>
      <c r="O87" s="193"/>
      <c r="P87" s="194" t="s">
        <v>4516</v>
      </c>
      <c r="Q87" s="194" t="s">
        <v>4516</v>
      </c>
    </row>
    <row r="88">
      <c r="A88" s="33"/>
      <c r="B88" s="117"/>
      <c r="C88" s="118"/>
      <c r="D88" s="118"/>
      <c r="E88" s="61" t="s">
        <v>8455</v>
      </c>
      <c r="F88" s="121" t="s">
        <v>851</v>
      </c>
      <c r="G88" s="118"/>
      <c r="H88" s="192" t="str">
        <f t="shared" ref="H88:K88" si="85">lower(C88)</f>
        <v/>
      </c>
      <c r="I88" s="192" t="str">
        <f t="shared" si="85"/>
        <v/>
      </c>
      <c r="J88" s="192" t="str">
        <f t="shared" si="85"/>
        <v>initials of person filling form</v>
      </c>
      <c r="K88" s="192" t="str">
        <f t="shared" si="85"/>
        <v/>
      </c>
      <c r="L88" s="193"/>
      <c r="M88" s="193"/>
      <c r="N88" s="193"/>
      <c r="O88" s="193"/>
      <c r="P88" s="194"/>
      <c r="Q88" s="194"/>
    </row>
    <row r="89">
      <c r="A89" s="33"/>
      <c r="B89" s="33"/>
      <c r="C89" s="118"/>
      <c r="D89" s="12"/>
      <c r="E89" s="61"/>
      <c r="F89" s="121" t="s">
        <v>851</v>
      </c>
      <c r="G89" s="118"/>
      <c r="H89" s="192" t="str">
        <f t="shared" ref="H89:K89" si="86">lower(C89)</f>
        <v/>
      </c>
      <c r="I89" s="192" t="str">
        <f t="shared" si="86"/>
        <v/>
      </c>
      <c r="J89" s="192" t="str">
        <f t="shared" si="86"/>
        <v/>
      </c>
      <c r="K89" s="192" t="str">
        <f t="shared" si="86"/>
        <v/>
      </c>
      <c r="L89" s="193"/>
      <c r="M89" s="193"/>
      <c r="N89" s="193"/>
      <c r="O89" s="193"/>
      <c r="P89" s="194"/>
      <c r="Q89" s="193"/>
    </row>
    <row r="90">
      <c r="A90" s="33" t="s">
        <v>4205</v>
      </c>
      <c r="B90" s="33" t="s">
        <v>4517</v>
      </c>
      <c r="C90" s="12" t="s">
        <v>4518</v>
      </c>
      <c r="D90" s="12" t="s">
        <v>40</v>
      </c>
      <c r="E90" s="61" t="s">
        <v>4519</v>
      </c>
      <c r="F90" s="121" t="s">
        <v>4518</v>
      </c>
      <c r="G90" s="118"/>
      <c r="H90" s="192" t="str">
        <f t="shared" ref="H90:K90" si="87">lower(C90)</f>
        <v>rehospitalize</v>
      </c>
      <c r="I90" s="192" t="str">
        <f t="shared" si="87"/>
        <v>bool</v>
      </c>
      <c r="J90" s="192" t="str">
        <f t="shared" si="87"/>
        <v>has been re-hospitalized since discharge?</v>
      </c>
      <c r="K90" s="192" t="str">
        <f t="shared" si="87"/>
        <v>rehospitalize</v>
      </c>
      <c r="L90" s="193"/>
      <c r="M90" s="193"/>
      <c r="N90" s="193"/>
      <c r="O90" s="193"/>
      <c r="P90" s="194" t="s">
        <v>4520</v>
      </c>
      <c r="Q90" s="194" t="s">
        <v>4520</v>
      </c>
    </row>
    <row r="91">
      <c r="A91" s="33"/>
      <c r="B91" s="33" t="s">
        <v>4517</v>
      </c>
      <c r="C91" s="12" t="s">
        <v>4521</v>
      </c>
      <c r="D91" s="12" t="s">
        <v>31</v>
      </c>
      <c r="E91" s="61" t="s">
        <v>4522</v>
      </c>
      <c r="F91" s="121" t="s">
        <v>4523</v>
      </c>
      <c r="G91" s="118"/>
      <c r="H91" s="192" t="str">
        <f t="shared" ref="H91:K91" si="88">lower(C91)</f>
        <v>numberrehospitalize</v>
      </c>
      <c r="I91" s="192" t="str">
        <f t="shared" si="88"/>
        <v>int</v>
      </c>
      <c r="J91" s="192" t="str">
        <f t="shared" si="88"/>
        <v>how many times has the child been re-hospitalized</v>
      </c>
      <c r="K91" s="192" t="str">
        <f t="shared" si="88"/>
        <v>number_rehospitalize</v>
      </c>
      <c r="L91" s="193"/>
      <c r="M91" s="193"/>
      <c r="N91" s="193"/>
      <c r="O91" s="193"/>
      <c r="P91" s="194" t="s">
        <v>4524</v>
      </c>
      <c r="Q91" s="194" t="s">
        <v>4524</v>
      </c>
    </row>
    <row r="92">
      <c r="A92" s="33"/>
      <c r="B92" s="33" t="s">
        <v>4517</v>
      </c>
      <c r="C92" s="12" t="s">
        <v>4525</v>
      </c>
      <c r="D92" s="12" t="s">
        <v>40</v>
      </c>
      <c r="E92" s="61" t="s">
        <v>4526</v>
      </c>
      <c r="F92" s="121" t="s">
        <v>4525</v>
      </c>
      <c r="G92" s="118"/>
      <c r="H92" s="192" t="str">
        <f t="shared" ref="H92:K92" si="89">lower(C92)</f>
        <v>operation</v>
      </c>
      <c r="I92" s="192" t="str">
        <f t="shared" si="89"/>
        <v>bool</v>
      </c>
      <c r="J92" s="192" t="str">
        <f t="shared" si="89"/>
        <v>has the child had any operations</v>
      </c>
      <c r="K92" s="192" t="str">
        <f t="shared" si="89"/>
        <v>operation</v>
      </c>
      <c r="L92" s="193"/>
      <c r="M92" s="193"/>
      <c r="N92" s="193"/>
      <c r="O92" s="193"/>
      <c r="P92" s="194" t="s">
        <v>4527</v>
      </c>
      <c r="Q92" s="194" t="s">
        <v>4527</v>
      </c>
    </row>
    <row r="93">
      <c r="A93" s="33"/>
      <c r="B93" s="33" t="s">
        <v>4517</v>
      </c>
      <c r="C93" s="12" t="s">
        <v>4528</v>
      </c>
      <c r="D93" s="12" t="s">
        <v>40</v>
      </c>
      <c r="E93" s="61" t="s">
        <v>4529</v>
      </c>
      <c r="F93" s="121" t="s">
        <v>4530</v>
      </c>
      <c r="G93" s="118"/>
      <c r="H93" s="192" t="str">
        <f t="shared" ref="H93:K93" si="90">lower(C93)</f>
        <v>operationtypanostomytube</v>
      </c>
      <c r="I93" s="192" t="str">
        <f t="shared" si="90"/>
        <v>bool</v>
      </c>
      <c r="J93" s="192" t="str">
        <f t="shared" si="90"/>
        <v>typanostomy tubes placed?</v>
      </c>
      <c r="K93" s="192" t="str">
        <f t="shared" si="90"/>
        <v>operation_typanostomy_tube</v>
      </c>
      <c r="L93" s="193"/>
      <c r="M93" s="193"/>
      <c r="N93" s="193"/>
      <c r="O93" s="193"/>
      <c r="P93" s="194" t="s">
        <v>4531</v>
      </c>
      <c r="Q93" s="194" t="s">
        <v>4531</v>
      </c>
    </row>
    <row r="94">
      <c r="A94" s="33"/>
      <c r="B94" s="33" t="s">
        <v>4517</v>
      </c>
      <c r="C94" s="12" t="s">
        <v>4532</v>
      </c>
      <c r="D94" s="12" t="s">
        <v>40</v>
      </c>
      <c r="E94" s="61" t="s">
        <v>4533</v>
      </c>
      <c r="F94" s="121" t="s">
        <v>4534</v>
      </c>
      <c r="G94" s="118"/>
      <c r="H94" s="192" t="str">
        <f t="shared" ref="H94:K94" si="91">lower(C94)</f>
        <v>operationtracheostomy</v>
      </c>
      <c r="I94" s="192" t="str">
        <f t="shared" si="91"/>
        <v>bool</v>
      </c>
      <c r="J94" s="192" t="str">
        <f t="shared" si="91"/>
        <v>tracheostomy?</v>
      </c>
      <c r="K94" s="192" t="str">
        <f t="shared" si="91"/>
        <v>operation_tracheostomy</v>
      </c>
      <c r="L94" s="193"/>
      <c r="M94" s="193"/>
      <c r="N94" s="193"/>
      <c r="O94" s="193"/>
      <c r="P94" s="194" t="s">
        <v>4535</v>
      </c>
      <c r="Q94" s="194" t="s">
        <v>4535</v>
      </c>
    </row>
    <row r="95">
      <c r="A95" s="33"/>
      <c r="B95" s="33" t="s">
        <v>4517</v>
      </c>
      <c r="C95" s="12" t="s">
        <v>4536</v>
      </c>
      <c r="D95" s="12" t="s">
        <v>40</v>
      </c>
      <c r="E95" s="61" t="s">
        <v>4537</v>
      </c>
      <c r="F95" s="121" t="s">
        <v>4538</v>
      </c>
      <c r="G95" s="118"/>
      <c r="H95" s="192" t="str">
        <f t="shared" ref="H95:K95" si="92">lower(C95)</f>
        <v>operationeyesurgery</v>
      </c>
      <c r="I95" s="192" t="str">
        <f t="shared" si="92"/>
        <v>bool</v>
      </c>
      <c r="J95" s="192" t="str">
        <f t="shared" si="92"/>
        <v>eye surgery?</v>
      </c>
      <c r="K95" s="192" t="str">
        <f t="shared" si="92"/>
        <v>operation_eye_surgery</v>
      </c>
      <c r="L95" s="193"/>
      <c r="M95" s="193"/>
      <c r="N95" s="193"/>
      <c r="O95" s="193"/>
      <c r="P95" s="194" t="s">
        <v>4539</v>
      </c>
      <c r="Q95" s="194" t="s">
        <v>4539</v>
      </c>
    </row>
    <row r="96">
      <c r="A96" s="33"/>
      <c r="B96" s="33" t="s">
        <v>4517</v>
      </c>
      <c r="C96" s="12" t="s">
        <v>4540</v>
      </c>
      <c r="D96" s="12" t="s">
        <v>4541</v>
      </c>
      <c r="E96" s="61" t="s">
        <v>4542</v>
      </c>
      <c r="F96" s="121" t="s">
        <v>4543</v>
      </c>
      <c r="G96" s="118"/>
      <c r="H96" s="192" t="str">
        <f t="shared" ref="H96:K96" si="93">lower(C96)</f>
        <v>operationeyesurgeryreason</v>
      </c>
      <c r="I96" s="192" t="str">
        <f t="shared" si="93"/>
        <v>eyesurgeryreason</v>
      </c>
      <c r="J96" s="192" t="str">
        <f t="shared" si="93"/>
        <v>eye surgery - reason</v>
      </c>
      <c r="K96" s="192" t="str">
        <f t="shared" si="93"/>
        <v>operation_eye_surgery_reason</v>
      </c>
      <c r="L96" s="193"/>
      <c r="M96" s="193"/>
      <c r="N96" s="193"/>
      <c r="O96" s="193"/>
      <c r="P96" s="194" t="s">
        <v>4544</v>
      </c>
      <c r="Q96" s="194" t="s">
        <v>4544</v>
      </c>
    </row>
    <row r="97">
      <c r="A97" s="33"/>
      <c r="B97" s="33" t="s">
        <v>4517</v>
      </c>
      <c r="C97" s="12" t="s">
        <v>4545</v>
      </c>
      <c r="D97" s="12" t="s">
        <v>40</v>
      </c>
      <c r="E97" s="61" t="s">
        <v>4546</v>
      </c>
      <c r="F97" s="121" t="s">
        <v>4547</v>
      </c>
      <c r="G97" s="118"/>
      <c r="H97" s="192" t="str">
        <f t="shared" ref="H97:K97" si="94">lower(C97)</f>
        <v>operationherniasurgery</v>
      </c>
      <c r="I97" s="192" t="str">
        <f t="shared" si="94"/>
        <v>bool</v>
      </c>
      <c r="J97" s="192" t="str">
        <f t="shared" si="94"/>
        <v>hernia surgery?</v>
      </c>
      <c r="K97" s="192" t="str">
        <f t="shared" si="94"/>
        <v>operation_hernia_surgery</v>
      </c>
      <c r="L97" s="193"/>
      <c r="M97" s="193"/>
      <c r="N97" s="193"/>
      <c r="O97" s="193"/>
      <c r="P97" s="194" t="s">
        <v>4548</v>
      </c>
      <c r="Q97" s="194" t="s">
        <v>4548</v>
      </c>
    </row>
    <row r="98">
      <c r="A98" s="33"/>
      <c r="B98" s="33" t="s">
        <v>4517</v>
      </c>
      <c r="C98" s="12" t="s">
        <v>4549</v>
      </c>
      <c r="D98" s="12" t="s">
        <v>40</v>
      </c>
      <c r="E98" s="61" t="s">
        <v>4550</v>
      </c>
      <c r="F98" s="121" t="s">
        <v>4551</v>
      </c>
      <c r="G98" s="118"/>
      <c r="H98" s="192" t="str">
        <f t="shared" ref="H98:K98" si="95">lower(C98)</f>
        <v>operationgastrostomytube</v>
      </c>
      <c r="I98" s="192" t="str">
        <f t="shared" si="95"/>
        <v>bool</v>
      </c>
      <c r="J98" s="192" t="str">
        <f t="shared" si="95"/>
        <v>gastrostomy tube/button placed?</v>
      </c>
      <c r="K98" s="192" t="str">
        <f t="shared" si="95"/>
        <v>operation_gastrostomy_tube</v>
      </c>
      <c r="L98" s="193"/>
      <c r="M98" s="193"/>
      <c r="N98" s="193"/>
      <c r="O98" s="193"/>
      <c r="P98" s="194" t="s">
        <v>4552</v>
      </c>
      <c r="Q98" s="194" t="s">
        <v>4552</v>
      </c>
    </row>
    <row r="99">
      <c r="A99" s="33"/>
      <c r="B99" s="33" t="s">
        <v>4517</v>
      </c>
      <c r="C99" s="12" t="s">
        <v>4553</v>
      </c>
      <c r="D99" s="12" t="s">
        <v>40</v>
      </c>
      <c r="E99" s="61" t="s">
        <v>4554</v>
      </c>
      <c r="F99" s="121" t="s">
        <v>4555</v>
      </c>
      <c r="G99" s="118"/>
      <c r="H99" s="192" t="str">
        <f t="shared" ref="H99:K99" si="96">lower(C99)</f>
        <v>operationfundoplication</v>
      </c>
      <c r="I99" s="192" t="str">
        <f t="shared" si="96"/>
        <v>bool</v>
      </c>
      <c r="J99" s="192" t="str">
        <f t="shared" si="96"/>
        <v>fundoplication?</v>
      </c>
      <c r="K99" s="192" t="str">
        <f t="shared" si="96"/>
        <v>operation_fundoplication</v>
      </c>
      <c r="L99" s="193"/>
      <c r="M99" s="193"/>
      <c r="N99" s="193"/>
      <c r="O99" s="193"/>
      <c r="P99" s="194" t="s">
        <v>4556</v>
      </c>
      <c r="Q99" s="194" t="s">
        <v>4556</v>
      </c>
    </row>
    <row r="100">
      <c r="A100" s="33"/>
      <c r="B100" s="33" t="s">
        <v>4517</v>
      </c>
      <c r="C100" s="12" t="s">
        <v>4557</v>
      </c>
      <c r="D100" s="12" t="s">
        <v>40</v>
      </c>
      <c r="E100" s="61" t="s">
        <v>4558</v>
      </c>
      <c r="F100" s="121" t="s">
        <v>4559</v>
      </c>
      <c r="G100" s="118"/>
      <c r="H100" s="192" t="str">
        <f t="shared" ref="H100:K100" si="97">lower(C100)</f>
        <v>operationshuntforhydrocephalus</v>
      </c>
      <c r="I100" s="192" t="str">
        <f t="shared" si="97"/>
        <v>bool</v>
      </c>
      <c r="J100" s="192" t="str">
        <f t="shared" si="97"/>
        <v>shunt for hydrocephalus?</v>
      </c>
      <c r="K100" s="192" t="str">
        <f t="shared" si="97"/>
        <v>operation_shunt_for_hydrocephalus</v>
      </c>
      <c r="L100" s="193"/>
      <c r="M100" s="193"/>
      <c r="N100" s="193"/>
      <c r="O100" s="193"/>
      <c r="P100" s="194" t="s">
        <v>4560</v>
      </c>
      <c r="Q100" s="194" t="s">
        <v>4560</v>
      </c>
    </row>
    <row r="101">
      <c r="A101" s="33"/>
      <c r="B101" s="33" t="s">
        <v>4517</v>
      </c>
      <c r="C101" s="12" t="s">
        <v>4561</v>
      </c>
      <c r="D101" s="12" t="s">
        <v>40</v>
      </c>
      <c r="E101" s="61" t="s">
        <v>4562</v>
      </c>
      <c r="F101" s="121" t="s">
        <v>4563</v>
      </c>
      <c r="G101" s="118"/>
      <c r="H101" s="192" t="str">
        <f t="shared" ref="H101:K101" si="98">lower(C101)</f>
        <v>operationreanastomosisoflargeorsmallintenstine</v>
      </c>
      <c r="I101" s="192" t="str">
        <f t="shared" si="98"/>
        <v>bool</v>
      </c>
      <c r="J101" s="192" t="str">
        <f t="shared" si="98"/>
        <v>reanastomosis of large or small intestine?</v>
      </c>
      <c r="K101" s="192" t="str">
        <f t="shared" si="98"/>
        <v>operation_reanastomosis_of_large_or_small_intenstine</v>
      </c>
      <c r="L101" s="193"/>
      <c r="M101" s="193"/>
      <c r="N101" s="193"/>
      <c r="O101" s="193"/>
      <c r="P101" s="194" t="s">
        <v>4564</v>
      </c>
      <c r="Q101" s="194" t="s">
        <v>4564</v>
      </c>
    </row>
    <row r="102">
      <c r="A102" s="33"/>
      <c r="B102" s="33" t="s">
        <v>4517</v>
      </c>
      <c r="C102" s="12" t="s">
        <v>4565</v>
      </c>
      <c r="D102" s="12" t="s">
        <v>40</v>
      </c>
      <c r="E102" s="61" t="s">
        <v>4566</v>
      </c>
      <c r="F102" s="121" t="s">
        <v>4567</v>
      </c>
      <c r="G102" s="118"/>
      <c r="H102" s="192" t="str">
        <f t="shared" ref="H102:K102" si="99">lower(C102)</f>
        <v>operationpdaligation</v>
      </c>
      <c r="I102" s="192" t="str">
        <f t="shared" si="99"/>
        <v>bool</v>
      </c>
      <c r="J102" s="192" t="str">
        <f t="shared" si="99"/>
        <v>pda ligation?</v>
      </c>
      <c r="K102" s="192" t="str">
        <f t="shared" si="99"/>
        <v>operation_pda_ligation</v>
      </c>
      <c r="L102" s="193"/>
      <c r="M102" s="193"/>
      <c r="N102" s="193"/>
      <c r="O102" s="193"/>
      <c r="P102" s="194" t="s">
        <v>4568</v>
      </c>
      <c r="Q102" s="194" t="s">
        <v>4568</v>
      </c>
    </row>
    <row r="103">
      <c r="A103" s="33"/>
      <c r="B103" s="33" t="s">
        <v>4517</v>
      </c>
      <c r="C103" s="12" t="s">
        <v>4569</v>
      </c>
      <c r="D103" s="12" t="s">
        <v>40</v>
      </c>
      <c r="E103" s="61" t="s">
        <v>4570</v>
      </c>
      <c r="F103" s="121" t="s">
        <v>4571</v>
      </c>
      <c r="G103" s="118"/>
      <c r="H103" s="192" t="str">
        <f t="shared" ref="H103:K103" si="100">lower(C103)</f>
        <v>operationbrochoscopy</v>
      </c>
      <c r="I103" s="192" t="str">
        <f t="shared" si="100"/>
        <v>bool</v>
      </c>
      <c r="J103" s="192" t="str">
        <f t="shared" si="100"/>
        <v>bronchoscopy?</v>
      </c>
      <c r="K103" s="192" t="str">
        <f t="shared" si="100"/>
        <v>operation_brochoscopy</v>
      </c>
      <c r="L103" s="193"/>
      <c r="M103" s="193"/>
      <c r="N103" s="193"/>
      <c r="O103" s="193"/>
      <c r="P103" s="194" t="s">
        <v>4572</v>
      </c>
      <c r="Q103" s="194" t="s">
        <v>4572</v>
      </c>
    </row>
    <row r="104">
      <c r="A104" s="33"/>
      <c r="B104" s="33" t="s">
        <v>4517</v>
      </c>
      <c r="C104" s="12" t="s">
        <v>4573</v>
      </c>
      <c r="D104" s="12" t="s">
        <v>40</v>
      </c>
      <c r="E104" s="61" t="s">
        <v>4574</v>
      </c>
      <c r="F104" s="121" t="s">
        <v>4575</v>
      </c>
      <c r="G104" s="118"/>
      <c r="H104" s="192" t="str">
        <f t="shared" ref="H104:K104" si="101">lower(C104)</f>
        <v>operationhypospadiusrepair</v>
      </c>
      <c r="I104" s="192" t="str">
        <f t="shared" si="101"/>
        <v>bool</v>
      </c>
      <c r="J104" s="192" t="str">
        <f t="shared" si="101"/>
        <v>hypospadius repair?</v>
      </c>
      <c r="K104" s="192" t="str">
        <f t="shared" si="101"/>
        <v>operation_hypospadius_repair</v>
      </c>
      <c r="L104" s="193"/>
      <c r="M104" s="193"/>
      <c r="N104" s="193"/>
      <c r="O104" s="193"/>
      <c r="P104" s="194" t="s">
        <v>4576</v>
      </c>
      <c r="Q104" s="194" t="s">
        <v>4576</v>
      </c>
    </row>
    <row r="105">
      <c r="A105" s="33"/>
      <c r="B105" s="33" t="s">
        <v>4517</v>
      </c>
      <c r="C105" s="12" t="s">
        <v>4577</v>
      </c>
      <c r="D105" s="12" t="s">
        <v>40</v>
      </c>
      <c r="E105" s="61" t="s">
        <v>4075</v>
      </c>
      <c r="F105" s="121" t="s">
        <v>4578</v>
      </c>
      <c r="G105" s="118"/>
      <c r="H105" s="192" t="str">
        <f t="shared" ref="H105:K105" si="102">lower(C105)</f>
        <v>operationother</v>
      </c>
      <c r="I105" s="192" t="str">
        <f t="shared" si="102"/>
        <v>bool</v>
      </c>
      <c r="J105" s="192" t="str">
        <f t="shared" si="102"/>
        <v>other?</v>
      </c>
      <c r="K105" s="192" t="str">
        <f t="shared" si="102"/>
        <v>operation_other</v>
      </c>
      <c r="L105" s="193"/>
      <c r="M105" s="193"/>
      <c r="N105" s="193"/>
      <c r="O105" s="193"/>
      <c r="P105" s="194" t="s">
        <v>4579</v>
      </c>
      <c r="Q105" s="194" t="s">
        <v>4579</v>
      </c>
    </row>
    <row r="106">
      <c r="A106" s="33"/>
      <c r="B106" s="33" t="s">
        <v>4517</v>
      </c>
      <c r="C106" s="12" t="s">
        <v>4580</v>
      </c>
      <c r="D106" s="12" t="s">
        <v>16</v>
      </c>
      <c r="E106" s="61" t="s">
        <v>3128</v>
      </c>
      <c r="F106" s="121" t="s">
        <v>4581</v>
      </c>
      <c r="G106" s="118"/>
      <c r="H106" s="192" t="str">
        <f t="shared" ref="H106:K106" si="103">lower(C106)</f>
        <v>operationothertext</v>
      </c>
      <c r="I106" s="192" t="str">
        <f t="shared" si="103"/>
        <v>text</v>
      </c>
      <c r="J106" s="192" t="str">
        <f t="shared" si="103"/>
        <v>other - specify</v>
      </c>
      <c r="K106" s="192" t="str">
        <f t="shared" si="103"/>
        <v>operation_other_text</v>
      </c>
      <c r="L106" s="193"/>
      <c r="M106" s="193"/>
      <c r="N106" s="193"/>
      <c r="O106" s="193"/>
      <c r="P106" s="194" t="s">
        <v>4582</v>
      </c>
      <c r="Q106" s="194" t="s">
        <v>4582</v>
      </c>
    </row>
    <row r="107">
      <c r="A107" s="33"/>
      <c r="B107" s="33" t="s">
        <v>4517</v>
      </c>
      <c r="C107" s="12" t="s">
        <v>4583</v>
      </c>
      <c r="D107" s="12" t="s">
        <v>40</v>
      </c>
      <c r="E107" s="61" t="s">
        <v>4584</v>
      </c>
      <c r="F107" s="121" t="s">
        <v>4583</v>
      </c>
      <c r="G107" s="118"/>
      <c r="H107" s="192" t="str">
        <f t="shared" ref="H107:K107" si="104">lower(C107)</f>
        <v>medication</v>
      </c>
      <c r="I107" s="192" t="str">
        <f t="shared" si="104"/>
        <v>bool</v>
      </c>
      <c r="J107" s="192" t="str">
        <f t="shared" si="104"/>
        <v>medication repeatedly in the last 3 months?</v>
      </c>
      <c r="K107" s="192" t="str">
        <f t="shared" si="104"/>
        <v>medication</v>
      </c>
      <c r="L107" s="193"/>
      <c r="M107" s="193"/>
      <c r="N107" s="193"/>
      <c r="O107" s="193"/>
      <c r="P107" s="194" t="s">
        <v>4585</v>
      </c>
      <c r="Q107" s="194" t="s">
        <v>4585</v>
      </c>
    </row>
    <row r="108">
      <c r="A108" s="33"/>
      <c r="B108" s="33" t="s">
        <v>4517</v>
      </c>
      <c r="C108" s="12" t="s">
        <v>4586</v>
      </c>
      <c r="D108" s="12" t="s">
        <v>4587</v>
      </c>
      <c r="E108" s="61" t="s">
        <v>4588</v>
      </c>
      <c r="F108" s="121" t="s">
        <v>4589</v>
      </c>
      <c r="G108" s="118"/>
      <c r="H108" s="192" t="str">
        <f t="shared" ref="H108:K108" si="105">lower(C108)</f>
        <v>vitaminmineralsupplement</v>
      </c>
      <c r="I108" s="192" t="str">
        <f t="shared" si="105"/>
        <v>medicationuse</v>
      </c>
      <c r="J108" s="192" t="str">
        <f t="shared" si="105"/>
        <v>vitamin/mineral supplements?</v>
      </c>
      <c r="K108" s="192" t="str">
        <f t="shared" si="105"/>
        <v>vitamin_mineral_supplement</v>
      </c>
      <c r="L108" s="193"/>
      <c r="M108" s="193"/>
      <c r="N108" s="193"/>
      <c r="O108" s="193"/>
      <c r="P108" s="194" t="s">
        <v>4590</v>
      </c>
      <c r="Q108" s="194" t="s">
        <v>4590</v>
      </c>
    </row>
    <row r="109">
      <c r="A109" s="33"/>
      <c r="B109" s="33" t="s">
        <v>4517</v>
      </c>
      <c r="C109" s="12" t="s">
        <v>4591</v>
      </c>
      <c r="D109" s="12" t="s">
        <v>4587</v>
      </c>
      <c r="E109" s="61" t="s">
        <v>4592</v>
      </c>
      <c r="F109" s="121" t="s">
        <v>4593</v>
      </c>
      <c r="G109" s="118"/>
      <c r="H109" s="192" t="str">
        <f t="shared" ref="H109:K109" si="106">lower(C109)</f>
        <v>highcaloricformula</v>
      </c>
      <c r="I109" s="192" t="str">
        <f t="shared" si="106"/>
        <v>medicationuse</v>
      </c>
      <c r="J109" s="192" t="str">
        <f t="shared" si="106"/>
        <v>high caloric formulas?</v>
      </c>
      <c r="K109" s="192" t="str">
        <f t="shared" si="106"/>
        <v>high_caloric_formula</v>
      </c>
      <c r="L109" s="193"/>
      <c r="M109" s="193"/>
      <c r="N109" s="193"/>
      <c r="O109" s="193"/>
      <c r="P109" s="194" t="s">
        <v>4594</v>
      </c>
      <c r="Q109" s="194" t="s">
        <v>4594</v>
      </c>
    </row>
    <row r="110">
      <c r="A110" s="33"/>
      <c r="B110" s="33" t="s">
        <v>4517</v>
      </c>
      <c r="C110" s="12" t="s">
        <v>4595</v>
      </c>
      <c r="D110" s="12" t="s">
        <v>4587</v>
      </c>
      <c r="E110" s="61" t="s">
        <v>4596</v>
      </c>
      <c r="F110" s="121" t="s">
        <v>4595</v>
      </c>
      <c r="G110" s="118"/>
      <c r="H110" s="192" t="str">
        <f t="shared" ref="H110:K110" si="107">lower(C110)</f>
        <v>diuretics</v>
      </c>
      <c r="I110" s="192" t="str">
        <f t="shared" si="107"/>
        <v>medicationuse</v>
      </c>
      <c r="J110" s="192" t="str">
        <f t="shared" si="107"/>
        <v>diuretics?</v>
      </c>
      <c r="K110" s="192" t="str">
        <f t="shared" si="107"/>
        <v>diuretics</v>
      </c>
      <c r="L110" s="193"/>
      <c r="M110" s="193"/>
      <c r="N110" s="193"/>
      <c r="O110" s="193"/>
      <c r="P110" s="194" t="s">
        <v>4597</v>
      </c>
      <c r="Q110" s="194" t="s">
        <v>4597</v>
      </c>
    </row>
    <row r="111">
      <c r="A111" s="33"/>
      <c r="B111" s="33" t="s">
        <v>4517</v>
      </c>
      <c r="C111" s="12" t="s">
        <v>4598</v>
      </c>
      <c r="D111" s="12" t="s">
        <v>4587</v>
      </c>
      <c r="E111" s="61" t="s">
        <v>4599</v>
      </c>
      <c r="F111" s="121" t="s">
        <v>4600</v>
      </c>
      <c r="G111" s="118"/>
      <c r="H111" s="192" t="str">
        <f t="shared" ref="H111:K111" si="108">lower(C111)</f>
        <v>antirefluxmedication</v>
      </c>
      <c r="I111" s="192" t="str">
        <f t="shared" si="108"/>
        <v>medicationuse</v>
      </c>
      <c r="J111" s="192" t="str">
        <f t="shared" si="108"/>
        <v>anti-reflux medications?</v>
      </c>
      <c r="K111" s="192" t="str">
        <f t="shared" si="108"/>
        <v>anti_reflux_medication</v>
      </c>
      <c r="L111" s="193"/>
      <c r="M111" s="193"/>
      <c r="N111" s="193"/>
      <c r="O111" s="193"/>
      <c r="P111" s="194" t="s">
        <v>4601</v>
      </c>
      <c r="Q111" s="194" t="s">
        <v>4601</v>
      </c>
    </row>
    <row r="112">
      <c r="A112" s="33"/>
      <c r="B112" s="33" t="s">
        <v>4517</v>
      </c>
      <c r="C112" s="12" t="s">
        <v>4602</v>
      </c>
      <c r="D112" s="12" t="s">
        <v>4587</v>
      </c>
      <c r="E112" s="61" t="s">
        <v>4603</v>
      </c>
      <c r="F112" s="121" t="s">
        <v>4602</v>
      </c>
      <c r="G112" s="118"/>
      <c r="H112" s="192" t="str">
        <f t="shared" ref="H112:K112" si="109">lower(C112)</f>
        <v>bronchodilator</v>
      </c>
      <c r="I112" s="192" t="str">
        <f t="shared" si="109"/>
        <v>medicationuse</v>
      </c>
      <c r="J112" s="192" t="str">
        <f t="shared" si="109"/>
        <v>bronchodilators?</v>
      </c>
      <c r="K112" s="192" t="str">
        <f t="shared" si="109"/>
        <v>bronchodilator</v>
      </c>
      <c r="L112" s="193"/>
      <c r="M112" s="193"/>
      <c r="N112" s="193"/>
      <c r="O112" s="193"/>
      <c r="P112" s="194" t="s">
        <v>4604</v>
      </c>
      <c r="Q112" s="194" t="s">
        <v>4604</v>
      </c>
    </row>
    <row r="113">
      <c r="A113" s="33"/>
      <c r="B113" s="33" t="s">
        <v>4517</v>
      </c>
      <c r="C113" s="12" t="s">
        <v>4605</v>
      </c>
      <c r="D113" s="12" t="s">
        <v>4587</v>
      </c>
      <c r="E113" s="61" t="s">
        <v>4606</v>
      </c>
      <c r="F113" s="121" t="s">
        <v>4607</v>
      </c>
      <c r="G113" s="118"/>
      <c r="H113" s="192" t="str">
        <f t="shared" ref="H113:K113" si="110">lower(C113)</f>
        <v>inhaledsteroid</v>
      </c>
      <c r="I113" s="192" t="str">
        <f t="shared" si="110"/>
        <v>medicationuse</v>
      </c>
      <c r="J113" s="192" t="str">
        <f t="shared" si="110"/>
        <v>inhaled steroids?</v>
      </c>
      <c r="K113" s="192" t="str">
        <f t="shared" si="110"/>
        <v>inhaled_steroid</v>
      </c>
      <c r="L113" s="193"/>
      <c r="M113" s="193"/>
      <c r="N113" s="193"/>
      <c r="O113" s="193"/>
      <c r="P113" s="194" t="s">
        <v>4608</v>
      </c>
      <c r="Q113" s="194" t="s">
        <v>4608</v>
      </c>
    </row>
    <row r="114">
      <c r="A114" s="33"/>
      <c r="B114" s="33" t="s">
        <v>4517</v>
      </c>
      <c r="C114" s="12" t="s">
        <v>4609</v>
      </c>
      <c r="D114" s="12" t="s">
        <v>4587</v>
      </c>
      <c r="E114" s="61" t="s">
        <v>4610</v>
      </c>
      <c r="F114" s="121" t="s">
        <v>4611</v>
      </c>
      <c r="G114" s="118"/>
      <c r="H114" s="192" t="str">
        <f t="shared" ref="H114:K114" si="111">lower(C114)</f>
        <v>oralivsteroid</v>
      </c>
      <c r="I114" s="192" t="str">
        <f t="shared" si="111"/>
        <v>medicationuse</v>
      </c>
      <c r="J114" s="192" t="str">
        <f t="shared" si="111"/>
        <v>oral or iv steroids?</v>
      </c>
      <c r="K114" s="192" t="str">
        <f t="shared" si="111"/>
        <v>oral_iv_steroid</v>
      </c>
      <c r="L114" s="193"/>
      <c r="M114" s="193"/>
      <c r="N114" s="193"/>
      <c r="O114" s="193"/>
      <c r="P114" s="194" t="s">
        <v>4612</v>
      </c>
      <c r="Q114" s="194" t="s">
        <v>4612</v>
      </c>
    </row>
    <row r="115">
      <c r="A115" s="33"/>
      <c r="B115" s="33" t="s">
        <v>4517</v>
      </c>
      <c r="C115" s="12" t="s">
        <v>4613</v>
      </c>
      <c r="D115" s="12" t="s">
        <v>4587</v>
      </c>
      <c r="E115" s="61" t="s">
        <v>4614</v>
      </c>
      <c r="F115" s="121" t="s">
        <v>4615</v>
      </c>
      <c r="G115" s="118"/>
      <c r="H115" s="192" t="str">
        <f t="shared" ref="H115:K115" si="112">lower(C115)</f>
        <v>otherasthmamedication</v>
      </c>
      <c r="I115" s="192" t="str">
        <f t="shared" si="112"/>
        <v>medicationuse</v>
      </c>
      <c r="J115" s="192" t="str">
        <f t="shared" si="112"/>
        <v>other asthma medications?</v>
      </c>
      <c r="K115" s="192" t="str">
        <f t="shared" si="112"/>
        <v>other_asthma_medication</v>
      </c>
      <c r="L115" s="193"/>
      <c r="M115" s="193"/>
      <c r="N115" s="193"/>
      <c r="O115" s="193"/>
      <c r="P115" s="194" t="s">
        <v>4616</v>
      </c>
      <c r="Q115" s="194" t="s">
        <v>4616</v>
      </c>
    </row>
    <row r="116">
      <c r="A116" s="33"/>
      <c r="B116" s="33" t="s">
        <v>4517</v>
      </c>
      <c r="C116" s="12" t="s">
        <v>4617</v>
      </c>
      <c r="D116" s="12" t="s">
        <v>4587</v>
      </c>
      <c r="E116" s="61" t="s">
        <v>4618</v>
      </c>
      <c r="F116" s="121" t="s">
        <v>4619</v>
      </c>
      <c r="G116" s="118"/>
      <c r="H116" s="192" t="str">
        <f t="shared" ref="H116:K116" si="113">lower(C116)</f>
        <v>decongestantcoldallergymedication</v>
      </c>
      <c r="I116" s="192" t="str">
        <f t="shared" si="113"/>
        <v>medicationuse</v>
      </c>
      <c r="J116" s="192" t="str">
        <f t="shared" si="113"/>
        <v>decongestants/cold/allergy medications</v>
      </c>
      <c r="K116" s="192" t="str">
        <f t="shared" si="113"/>
        <v>decongestant_cold_allergy_medication</v>
      </c>
      <c r="L116" s="193"/>
      <c r="M116" s="193"/>
      <c r="N116" s="193"/>
      <c r="O116" s="193"/>
      <c r="P116" s="194" t="s">
        <v>4620</v>
      </c>
      <c r="Q116" s="194" t="s">
        <v>4620</v>
      </c>
    </row>
    <row r="117">
      <c r="A117" s="33"/>
      <c r="B117" s="33" t="s">
        <v>4517</v>
      </c>
      <c r="C117" s="12" t="s">
        <v>4621</v>
      </c>
      <c r="D117" s="12" t="s">
        <v>4587</v>
      </c>
      <c r="E117" s="61" t="s">
        <v>984</v>
      </c>
      <c r="F117" s="121" t="s">
        <v>4622</v>
      </c>
      <c r="G117" s="118"/>
      <c r="H117" s="192" t="str">
        <f t="shared" ref="H117:K117" si="114">lower(C117)</f>
        <v>anticonvulsantmedication</v>
      </c>
      <c r="I117" s="192" t="str">
        <f t="shared" si="114"/>
        <v>medicationuse</v>
      </c>
      <c r="J117" s="192" t="str">
        <f t="shared" si="114"/>
        <v>anticonvulsants</v>
      </c>
      <c r="K117" s="192" t="str">
        <f t="shared" si="114"/>
        <v>anticonvulsant_medication</v>
      </c>
      <c r="L117" s="193"/>
      <c r="M117" s="193"/>
      <c r="N117" s="193"/>
      <c r="O117" s="193"/>
      <c r="P117" s="194" t="s">
        <v>4623</v>
      </c>
      <c r="Q117" s="194" t="s">
        <v>4623</v>
      </c>
    </row>
    <row r="118">
      <c r="A118" s="33"/>
      <c r="B118" s="33" t="s">
        <v>4517</v>
      </c>
      <c r="C118" s="12" t="s">
        <v>4624</v>
      </c>
      <c r="D118" s="12" t="s">
        <v>4587</v>
      </c>
      <c r="E118" s="61" t="s">
        <v>4625</v>
      </c>
      <c r="F118" s="121" t="s">
        <v>4626</v>
      </c>
      <c r="G118" s="118"/>
      <c r="H118" s="192" t="str">
        <f t="shared" ref="H118:K118" si="115">lower(C118)</f>
        <v>prophylaticantibiotics</v>
      </c>
      <c r="I118" s="192" t="str">
        <f t="shared" si="115"/>
        <v>medicationuse</v>
      </c>
      <c r="J118" s="192" t="str">
        <f t="shared" si="115"/>
        <v>prophylatic antibiotics?</v>
      </c>
      <c r="K118" s="192" t="str">
        <f t="shared" si="115"/>
        <v>prophylatic_antibiotics</v>
      </c>
      <c r="L118" s="193"/>
      <c r="M118" s="193"/>
      <c r="N118" s="193"/>
      <c r="O118" s="193"/>
      <c r="P118" s="194" t="s">
        <v>4627</v>
      </c>
      <c r="Q118" s="194" t="s">
        <v>4627</v>
      </c>
    </row>
    <row r="119">
      <c r="A119" s="33"/>
      <c r="B119" s="33" t="s">
        <v>4517</v>
      </c>
      <c r="C119" s="12" t="s">
        <v>436</v>
      </c>
      <c r="D119" s="12" t="s">
        <v>4587</v>
      </c>
      <c r="E119" s="61" t="s">
        <v>4628</v>
      </c>
      <c r="F119" s="121" t="s">
        <v>436</v>
      </c>
      <c r="G119" s="118"/>
      <c r="H119" s="192" t="str">
        <f t="shared" ref="H119:K119" si="116">lower(C119)</f>
        <v>antibiotics</v>
      </c>
      <c r="I119" s="192" t="str">
        <f t="shared" si="116"/>
        <v>medicationuse</v>
      </c>
      <c r="J119" s="192" t="str">
        <f t="shared" si="116"/>
        <v>antibiotics?</v>
      </c>
      <c r="K119" s="192" t="str">
        <f t="shared" si="116"/>
        <v>antibiotics</v>
      </c>
      <c r="L119" s="193"/>
      <c r="M119" s="193"/>
      <c r="N119" s="193"/>
      <c r="O119" s="193"/>
      <c r="P119" s="194" t="s">
        <v>4629</v>
      </c>
      <c r="Q119" s="345" t="s">
        <v>4629</v>
      </c>
    </row>
    <row r="120">
      <c r="A120" s="33"/>
      <c r="B120" s="33" t="s">
        <v>4517</v>
      </c>
      <c r="C120" s="12" t="s">
        <v>4630</v>
      </c>
      <c r="D120" s="12" t="s">
        <v>4587</v>
      </c>
      <c r="E120" s="61" t="s">
        <v>4631</v>
      </c>
      <c r="F120" s="121" t="s">
        <v>4632</v>
      </c>
      <c r="G120" s="118"/>
      <c r="H120" s="192" t="str">
        <f t="shared" ref="H120:K120" si="117">lower(C120)</f>
        <v>constipationmedication</v>
      </c>
      <c r="I120" s="192" t="str">
        <f t="shared" si="117"/>
        <v>medicationuse</v>
      </c>
      <c r="J120" s="192" t="str">
        <f t="shared" si="117"/>
        <v>constipation medications?</v>
      </c>
      <c r="K120" s="192" t="str">
        <f t="shared" si="117"/>
        <v>constipation_medication</v>
      </c>
      <c r="L120" s="193"/>
      <c r="M120" s="193"/>
      <c r="N120" s="193"/>
      <c r="O120" s="193"/>
      <c r="P120" s="194" t="s">
        <v>4633</v>
      </c>
      <c r="Q120" s="194" t="s">
        <v>4633</v>
      </c>
    </row>
    <row r="121">
      <c r="A121" s="33"/>
      <c r="B121" s="33" t="s">
        <v>4517</v>
      </c>
      <c r="C121" s="12" t="s">
        <v>4634</v>
      </c>
      <c r="D121" s="12" t="s">
        <v>4587</v>
      </c>
      <c r="E121" s="61" t="s">
        <v>4635</v>
      </c>
      <c r="F121" s="121" t="s">
        <v>4636</v>
      </c>
      <c r="G121" s="118"/>
      <c r="H121" s="192" t="str">
        <f t="shared" ref="H121:K121" si="118">lower(C121)</f>
        <v>bloodpressuremedication</v>
      </c>
      <c r="I121" s="192" t="str">
        <f t="shared" si="118"/>
        <v>medicationuse</v>
      </c>
      <c r="J121" s="192" t="str">
        <f t="shared" si="118"/>
        <v>blood pressure medications?</v>
      </c>
      <c r="K121" s="192" t="str">
        <f t="shared" si="118"/>
        <v>blood_pressure_medication</v>
      </c>
      <c r="L121" s="193"/>
      <c r="M121" s="193"/>
      <c r="N121" s="193"/>
      <c r="O121" s="193"/>
      <c r="P121" s="194" t="s">
        <v>4637</v>
      </c>
      <c r="Q121" s="194" t="s">
        <v>4637</v>
      </c>
    </row>
    <row r="122">
      <c r="A122" s="33"/>
      <c r="B122" s="33" t="s">
        <v>4517</v>
      </c>
      <c r="C122" s="12" t="s">
        <v>4638</v>
      </c>
      <c r="D122" s="12" t="s">
        <v>4587</v>
      </c>
      <c r="E122" s="61" t="s">
        <v>4639</v>
      </c>
      <c r="F122" s="121" t="s">
        <v>4640</v>
      </c>
      <c r="G122" s="118"/>
      <c r="H122" s="192" t="str">
        <f t="shared" ref="H122:K122" si="119">lower(C122)</f>
        <v>thyroidmedication</v>
      </c>
      <c r="I122" s="192" t="str">
        <f t="shared" si="119"/>
        <v>medicationuse</v>
      </c>
      <c r="J122" s="192" t="str">
        <f t="shared" si="119"/>
        <v>thyroid medications?</v>
      </c>
      <c r="K122" s="192" t="str">
        <f t="shared" si="119"/>
        <v>thyroid_medication</v>
      </c>
      <c r="L122" s="193"/>
      <c r="M122" s="193"/>
      <c r="N122" s="193"/>
      <c r="O122" s="193"/>
      <c r="P122" s="194" t="s">
        <v>4641</v>
      </c>
      <c r="Q122" s="194" t="s">
        <v>4641</v>
      </c>
    </row>
    <row r="123">
      <c r="A123" s="33"/>
      <c r="B123" s="33" t="s">
        <v>4517</v>
      </c>
      <c r="C123" s="12" t="s">
        <v>4642</v>
      </c>
      <c r="D123" s="12" t="s">
        <v>4587</v>
      </c>
      <c r="E123" s="61" t="s">
        <v>4643</v>
      </c>
      <c r="F123" s="121" t="s">
        <v>4644</v>
      </c>
      <c r="G123" s="118"/>
      <c r="H123" s="192" t="str">
        <f t="shared" ref="H123:K123" si="120">lower(C123)</f>
        <v>musclerelaxants</v>
      </c>
      <c r="I123" s="192" t="str">
        <f t="shared" si="120"/>
        <v>medicationuse</v>
      </c>
      <c r="J123" s="192" t="str">
        <f t="shared" si="120"/>
        <v>muscle relaxants?</v>
      </c>
      <c r="K123" s="192" t="str">
        <f t="shared" si="120"/>
        <v>muscle_relaxants</v>
      </c>
      <c r="L123" s="193"/>
      <c r="M123" s="193"/>
      <c r="N123" s="193"/>
      <c r="O123" s="193"/>
      <c r="P123" s="194" t="s">
        <v>4645</v>
      </c>
      <c r="Q123" s="194" t="s">
        <v>4645</v>
      </c>
    </row>
    <row r="124">
      <c r="A124" s="33"/>
      <c r="B124" s="33" t="s">
        <v>4517</v>
      </c>
      <c r="C124" s="12" t="s">
        <v>4646</v>
      </c>
      <c r="D124" s="12" t="s">
        <v>4587</v>
      </c>
      <c r="E124" s="61" t="s">
        <v>4647</v>
      </c>
      <c r="F124" s="121" t="s">
        <v>4646</v>
      </c>
      <c r="G124" s="118"/>
      <c r="H124" s="192" t="str">
        <f t="shared" ref="H124:K124" si="121">lower(C124)</f>
        <v>botox</v>
      </c>
      <c r="I124" s="192" t="str">
        <f t="shared" si="121"/>
        <v>medicationuse</v>
      </c>
      <c r="J124" s="192" t="str">
        <f t="shared" si="121"/>
        <v>botox?</v>
      </c>
      <c r="K124" s="192" t="str">
        <f t="shared" si="121"/>
        <v>botox</v>
      </c>
      <c r="L124" s="193"/>
      <c r="M124" s="193"/>
      <c r="N124" s="193"/>
      <c r="O124" s="193"/>
      <c r="P124" s="194" t="s">
        <v>4648</v>
      </c>
      <c r="Q124" s="194" t="s">
        <v>4648</v>
      </c>
    </row>
    <row r="125">
      <c r="A125" s="33"/>
      <c r="B125" s="33" t="s">
        <v>4517</v>
      </c>
      <c r="C125" s="12" t="s">
        <v>4649</v>
      </c>
      <c r="D125" s="12" t="s">
        <v>4587</v>
      </c>
      <c r="E125" s="61" t="s">
        <v>4650</v>
      </c>
      <c r="F125" s="121" t="s">
        <v>4651</v>
      </c>
      <c r="G125" s="118"/>
      <c r="H125" s="192" t="str">
        <f t="shared" ref="H125:K125" si="122">lower(C125)</f>
        <v>othermedication</v>
      </c>
      <c r="I125" s="192" t="str">
        <f t="shared" si="122"/>
        <v>medicationuse</v>
      </c>
      <c r="J125" s="192" t="str">
        <f t="shared" si="122"/>
        <v>other medications?</v>
      </c>
      <c r="K125" s="192" t="str">
        <f t="shared" si="122"/>
        <v>other_medication</v>
      </c>
      <c r="L125" s="193"/>
      <c r="M125" s="193"/>
      <c r="N125" s="193"/>
      <c r="O125" s="193"/>
      <c r="P125" s="194" t="s">
        <v>4652</v>
      </c>
      <c r="Q125" s="194" t="s">
        <v>4652</v>
      </c>
    </row>
    <row r="126">
      <c r="A126" s="33"/>
      <c r="B126" s="33" t="s">
        <v>4517</v>
      </c>
      <c r="C126" s="12" t="s">
        <v>4653</v>
      </c>
      <c r="D126" s="12" t="s">
        <v>16</v>
      </c>
      <c r="E126" s="61" t="s">
        <v>4654</v>
      </c>
      <c r="F126" s="121" t="s">
        <v>4655</v>
      </c>
      <c r="G126" s="118"/>
      <c r="H126" s="192" t="str">
        <f t="shared" ref="H126:K126" si="123">lower(C126)</f>
        <v>othermedicationtext</v>
      </c>
      <c r="I126" s="192" t="str">
        <f t="shared" si="123"/>
        <v>text</v>
      </c>
      <c r="J126" s="192" t="str">
        <f t="shared" si="123"/>
        <v>other medications - specify</v>
      </c>
      <c r="K126" s="192" t="str">
        <f t="shared" si="123"/>
        <v>other_medication_text</v>
      </c>
      <c r="L126" s="193"/>
      <c r="M126" s="193"/>
      <c r="N126" s="193"/>
      <c r="O126" s="193"/>
      <c r="P126" s="194" t="s">
        <v>4656</v>
      </c>
      <c r="Q126" s="194" t="s">
        <v>4656</v>
      </c>
    </row>
    <row r="127">
      <c r="A127" s="33"/>
      <c r="B127" s="33" t="s">
        <v>4517</v>
      </c>
      <c r="C127" s="12" t="s">
        <v>4657</v>
      </c>
      <c r="D127" s="12" t="s">
        <v>40</v>
      </c>
      <c r="E127" s="61" t="s">
        <v>4658</v>
      </c>
      <c r="F127" s="121" t="s">
        <v>4657</v>
      </c>
      <c r="G127" s="118"/>
      <c r="H127" s="192" t="str">
        <f t="shared" ref="H127:K127" si="124">lower(C127)</f>
        <v>seizure</v>
      </c>
      <c r="I127" s="192" t="str">
        <f t="shared" si="124"/>
        <v>bool</v>
      </c>
      <c r="J127" s="192" t="str">
        <f t="shared" si="124"/>
        <v>has the child had one or more seizures since discharge?</v>
      </c>
      <c r="K127" s="192" t="str">
        <f t="shared" si="124"/>
        <v>seizure</v>
      </c>
      <c r="L127" s="193"/>
      <c r="M127" s="193"/>
      <c r="N127" s="193"/>
      <c r="O127" s="193"/>
      <c r="P127" s="194" t="s">
        <v>4659</v>
      </c>
      <c r="Q127" s="194" t="s">
        <v>4659</v>
      </c>
    </row>
    <row r="128">
      <c r="A128" s="33"/>
      <c r="B128" s="33" t="s">
        <v>4517</v>
      </c>
      <c r="C128" s="12" t="s">
        <v>4660</v>
      </c>
      <c r="D128" s="12" t="s">
        <v>40</v>
      </c>
      <c r="E128" s="61" t="s">
        <v>4661</v>
      </c>
      <c r="F128" s="121" t="s">
        <v>4662</v>
      </c>
      <c r="G128" s="118"/>
      <c r="H128" s="192" t="str">
        <f t="shared" ref="H128:K128" si="125">lower(C128)</f>
        <v>medicalequipmenthomeuse</v>
      </c>
      <c r="I128" s="192" t="str">
        <f t="shared" si="125"/>
        <v>bool</v>
      </c>
      <c r="J128" s="192" t="str">
        <f t="shared" si="125"/>
        <v>medical equipment for home use?</v>
      </c>
      <c r="K128" s="192" t="str">
        <f t="shared" si="125"/>
        <v>medical_equipment_home_use</v>
      </c>
      <c r="L128" s="193"/>
      <c r="M128" s="193"/>
      <c r="N128" s="193"/>
      <c r="O128" s="193"/>
      <c r="P128" s="194" t="s">
        <v>4663</v>
      </c>
      <c r="Q128" s="194" t="s">
        <v>4663</v>
      </c>
    </row>
    <row r="129">
      <c r="A129" s="33"/>
      <c r="B129" s="33" t="s">
        <v>4517</v>
      </c>
      <c r="C129" s="12" t="s">
        <v>4664</v>
      </c>
      <c r="D129" s="12" t="s">
        <v>4587</v>
      </c>
      <c r="E129" s="61" t="s">
        <v>4665</v>
      </c>
      <c r="F129" s="121" t="s">
        <v>4666</v>
      </c>
      <c r="G129" s="118"/>
      <c r="H129" s="192" t="str">
        <f t="shared" ref="H129:K129" si="126">lower(C129)</f>
        <v>apneamonitor</v>
      </c>
      <c r="I129" s="192" t="str">
        <f t="shared" si="126"/>
        <v>medicationuse</v>
      </c>
      <c r="J129" s="192" t="str">
        <f t="shared" si="126"/>
        <v>apnea monitor</v>
      </c>
      <c r="K129" s="192" t="str">
        <f t="shared" si="126"/>
        <v>apnea_monitor</v>
      </c>
      <c r="L129" s="193"/>
      <c r="M129" s="193"/>
      <c r="N129" s="193"/>
      <c r="O129" s="193"/>
      <c r="P129" s="194" t="s">
        <v>4667</v>
      </c>
      <c r="Q129" s="194" t="s">
        <v>4667</v>
      </c>
    </row>
    <row r="130">
      <c r="A130" s="33"/>
      <c r="B130" s="33" t="s">
        <v>4517</v>
      </c>
      <c r="C130" s="12" t="s">
        <v>4668</v>
      </c>
      <c r="D130" s="12" t="s">
        <v>4587</v>
      </c>
      <c r="E130" s="61" t="s">
        <v>4668</v>
      </c>
      <c r="F130" s="121" t="s">
        <v>4668</v>
      </c>
      <c r="G130" s="118"/>
      <c r="H130" s="192" t="str">
        <f t="shared" ref="H130:K130" si="127">lower(C130)</f>
        <v>oxygen</v>
      </c>
      <c r="I130" s="192" t="str">
        <f t="shared" si="127"/>
        <v>medicationuse</v>
      </c>
      <c r="J130" s="192" t="str">
        <f t="shared" si="127"/>
        <v>oxygen</v>
      </c>
      <c r="K130" s="192" t="str">
        <f t="shared" si="127"/>
        <v>oxygen</v>
      </c>
      <c r="L130" s="193"/>
      <c r="M130" s="193"/>
      <c r="N130" s="193"/>
      <c r="O130" s="193"/>
      <c r="P130" s="194" t="s">
        <v>4669</v>
      </c>
      <c r="Q130" s="194" t="s">
        <v>4669</v>
      </c>
    </row>
    <row r="131">
      <c r="A131" s="33"/>
      <c r="B131" s="33" t="s">
        <v>4517</v>
      </c>
      <c r="C131" s="12" t="s">
        <v>4670</v>
      </c>
      <c r="D131" s="12" t="s">
        <v>4587</v>
      </c>
      <c r="E131" s="61" t="s">
        <v>4671</v>
      </c>
      <c r="F131" s="121" t="s">
        <v>4672</v>
      </c>
      <c r="G131" s="118"/>
      <c r="H131" s="192" t="str">
        <f t="shared" ref="H131:K131" si="128">lower(C131)</f>
        <v>ventilatorcpap</v>
      </c>
      <c r="I131" s="192" t="str">
        <f t="shared" si="128"/>
        <v>medicationuse</v>
      </c>
      <c r="J131" s="192" t="str">
        <f t="shared" si="128"/>
        <v>ventilator/cpap</v>
      </c>
      <c r="K131" s="192" t="str">
        <f t="shared" si="128"/>
        <v>ventilator_cpap</v>
      </c>
      <c r="L131" s="193"/>
      <c r="M131" s="193"/>
      <c r="N131" s="193"/>
      <c r="O131" s="193"/>
      <c r="P131" s="194" t="s">
        <v>4673</v>
      </c>
      <c r="Q131" s="194" t="s">
        <v>4673</v>
      </c>
    </row>
    <row r="132">
      <c r="A132" s="33"/>
      <c r="B132" s="33" t="s">
        <v>4517</v>
      </c>
      <c r="C132" s="12" t="s">
        <v>4674</v>
      </c>
      <c r="D132" s="12" t="s">
        <v>4587</v>
      </c>
      <c r="E132" s="61" t="s">
        <v>4675</v>
      </c>
      <c r="F132" s="121" t="s">
        <v>4676</v>
      </c>
      <c r="G132" s="118"/>
      <c r="H132" s="192" t="str">
        <f t="shared" ref="H132:K132" si="129">lower(C132)</f>
        <v>gastrostomytube</v>
      </c>
      <c r="I132" s="192" t="str">
        <f t="shared" si="129"/>
        <v>medicationuse</v>
      </c>
      <c r="J132" s="192" t="str">
        <f t="shared" si="129"/>
        <v>gastrostomy tube / tube feeding?</v>
      </c>
      <c r="K132" s="192" t="str">
        <f t="shared" si="129"/>
        <v>gastrostomy_tube</v>
      </c>
      <c r="L132" s="193"/>
      <c r="M132" s="193"/>
      <c r="N132" s="193"/>
      <c r="O132" s="193"/>
      <c r="P132" s="194" t="s">
        <v>4677</v>
      </c>
      <c r="Q132" s="194" t="s">
        <v>4677</v>
      </c>
    </row>
    <row r="133">
      <c r="A133" s="33"/>
      <c r="B133" s="33" t="s">
        <v>4517</v>
      </c>
      <c r="C133" s="12" t="s">
        <v>4678</v>
      </c>
      <c r="D133" s="12" t="s">
        <v>4587</v>
      </c>
      <c r="E133" s="61" t="s">
        <v>4678</v>
      </c>
      <c r="F133" s="121" t="s">
        <v>4678</v>
      </c>
      <c r="G133" s="118"/>
      <c r="H133" s="192" t="str">
        <f t="shared" ref="H133:K133" si="130">lower(C133)</f>
        <v>tracheostomy</v>
      </c>
      <c r="I133" s="192" t="str">
        <f t="shared" si="130"/>
        <v>medicationuse</v>
      </c>
      <c r="J133" s="192" t="str">
        <f t="shared" si="130"/>
        <v>tracheostomy</v>
      </c>
      <c r="K133" s="192" t="str">
        <f t="shared" si="130"/>
        <v>tracheostomy</v>
      </c>
      <c r="L133" s="193"/>
      <c r="M133" s="193"/>
      <c r="N133" s="193"/>
      <c r="O133" s="193"/>
      <c r="P133" s="194" t="s">
        <v>4679</v>
      </c>
      <c r="Q133" s="194" t="s">
        <v>4679</v>
      </c>
    </row>
    <row r="134">
      <c r="A134" s="33"/>
      <c r="B134" s="33" t="s">
        <v>4517</v>
      </c>
      <c r="C134" s="12" t="s">
        <v>4680</v>
      </c>
      <c r="D134" s="12" t="s">
        <v>4587</v>
      </c>
      <c r="E134" s="61" t="s">
        <v>4681</v>
      </c>
      <c r="F134" s="121" t="s">
        <v>4682</v>
      </c>
      <c r="G134" s="118"/>
      <c r="H134" s="192" t="str">
        <f t="shared" ref="H134:K134" si="131">lower(C134)</f>
        <v>pulseoximeter</v>
      </c>
      <c r="I134" s="192" t="str">
        <f t="shared" si="131"/>
        <v>medicationuse</v>
      </c>
      <c r="J134" s="192" t="str">
        <f t="shared" si="131"/>
        <v>pulse oximeter</v>
      </c>
      <c r="K134" s="192" t="str">
        <f t="shared" si="131"/>
        <v>pulse_oximeter</v>
      </c>
      <c r="L134" s="193"/>
      <c r="M134" s="193"/>
      <c r="N134" s="193"/>
      <c r="O134" s="193"/>
      <c r="P134" s="194" t="s">
        <v>4683</v>
      </c>
      <c r="Q134" s="194" t="s">
        <v>4683</v>
      </c>
    </row>
    <row r="135">
      <c r="A135" s="33"/>
      <c r="B135" s="33" t="s">
        <v>4517</v>
      </c>
      <c r="C135" s="12" t="s">
        <v>4684</v>
      </c>
      <c r="D135" s="12" t="s">
        <v>40</v>
      </c>
      <c r="E135" s="61" t="s">
        <v>4685</v>
      </c>
      <c r="F135" s="121" t="s">
        <v>4686</v>
      </c>
      <c r="G135" s="118"/>
      <c r="H135" s="192" t="str">
        <f t="shared" ref="H135:K135" si="132">lower(C135)</f>
        <v>flushot</v>
      </c>
      <c r="I135" s="192" t="str">
        <f t="shared" si="132"/>
        <v>bool</v>
      </c>
      <c r="J135" s="192" t="str">
        <f t="shared" si="132"/>
        <v>since discharge, has the child had flu shot?</v>
      </c>
      <c r="K135" s="192" t="str">
        <f t="shared" si="132"/>
        <v>flu_shot</v>
      </c>
      <c r="L135" s="193"/>
      <c r="M135" s="193"/>
      <c r="N135" s="193"/>
      <c r="O135" s="193"/>
      <c r="P135" s="194" t="s">
        <v>4687</v>
      </c>
      <c r="Q135" s="194" t="s">
        <v>4687</v>
      </c>
    </row>
    <row r="136">
      <c r="A136" s="33"/>
      <c r="B136" s="33" t="s">
        <v>4517</v>
      </c>
      <c r="C136" s="12" t="s">
        <v>4688</v>
      </c>
      <c r="D136" s="12" t="s">
        <v>40</v>
      </c>
      <c r="E136" s="61" t="s">
        <v>4689</v>
      </c>
      <c r="F136" s="121" t="s">
        <v>4690</v>
      </c>
      <c r="G136" s="118"/>
      <c r="H136" s="192" t="str">
        <f t="shared" ref="H136:K136" si="133">lower(C136)</f>
        <v>rsvprophylaxis</v>
      </c>
      <c r="I136" s="192" t="str">
        <f t="shared" si="133"/>
        <v>bool</v>
      </c>
      <c r="J136" s="192" t="str">
        <f t="shared" si="133"/>
        <v>since discharge, has the child had rsv prophylaxis?</v>
      </c>
      <c r="K136" s="192" t="str">
        <f t="shared" si="133"/>
        <v>rsv_prophylaxis</v>
      </c>
      <c r="L136" s="193"/>
      <c r="M136" s="193"/>
      <c r="N136" s="193"/>
      <c r="O136" s="193"/>
      <c r="P136" s="194" t="s">
        <v>4691</v>
      </c>
      <c r="Q136" s="194" t="s">
        <v>4691</v>
      </c>
    </row>
    <row r="137">
      <c r="A137" s="33"/>
      <c r="B137" s="33" t="s">
        <v>4517</v>
      </c>
      <c r="C137" s="12" t="s">
        <v>4692</v>
      </c>
      <c r="D137" s="12" t="s">
        <v>40</v>
      </c>
      <c r="E137" s="61" t="s">
        <v>4693</v>
      </c>
      <c r="F137" s="121" t="s">
        <v>4694</v>
      </c>
      <c r="G137" s="12"/>
      <c r="H137" s="192" t="str">
        <f t="shared" ref="H137:K137" si="134">lower(C137)</f>
        <v>independentfeedself</v>
      </c>
      <c r="I137" s="192" t="str">
        <f t="shared" si="134"/>
        <v>bool</v>
      </c>
      <c r="J137" s="192" t="str">
        <f t="shared" si="134"/>
        <v>does the child independently feed self?</v>
      </c>
      <c r="K137" s="192" t="str">
        <f t="shared" si="134"/>
        <v>independent_feed_self</v>
      </c>
      <c r="L137" s="193"/>
      <c r="M137" s="193"/>
      <c r="N137" s="193"/>
      <c r="O137" s="193"/>
      <c r="P137" s="194" t="s">
        <v>4695</v>
      </c>
      <c r="Q137" s="194" t="s">
        <v>4695</v>
      </c>
    </row>
    <row r="138">
      <c r="A138" s="33"/>
      <c r="B138" s="33" t="s">
        <v>4517</v>
      </c>
      <c r="C138" s="12" t="s">
        <v>4696</v>
      </c>
      <c r="D138" s="12" t="s">
        <v>40</v>
      </c>
      <c r="E138" s="61" t="s">
        <v>4697</v>
      </c>
      <c r="F138" s="121" t="s">
        <v>4698</v>
      </c>
      <c r="G138" s="118"/>
      <c r="H138" s="192" t="str">
        <f t="shared" ref="H138:K138" si="135">lower(C138)</f>
        <v>assistedeatbymouth</v>
      </c>
      <c r="I138" s="192" t="str">
        <f t="shared" si="135"/>
        <v>bool</v>
      </c>
      <c r="J138" s="192" t="str">
        <f t="shared" si="135"/>
        <v>does the child assisted given to eat by mouth?</v>
      </c>
      <c r="K138" s="192" t="str">
        <f t="shared" si="135"/>
        <v>assisted_eat_by_mouth</v>
      </c>
      <c r="L138" s="193"/>
      <c r="M138" s="193"/>
      <c r="N138" s="193"/>
      <c r="O138" s="193"/>
      <c r="P138" s="194" t="s">
        <v>4699</v>
      </c>
      <c r="Q138" s="194" t="s">
        <v>4699</v>
      </c>
    </row>
    <row r="139">
      <c r="A139" s="33"/>
      <c r="B139" s="33" t="s">
        <v>4517</v>
      </c>
      <c r="C139" s="12" t="s">
        <v>4700</v>
      </c>
      <c r="D139" s="12" t="s">
        <v>40</v>
      </c>
      <c r="E139" s="61" t="s">
        <v>4701</v>
      </c>
      <c r="F139" s="121" t="s">
        <v>4702</v>
      </c>
      <c r="G139" s="118"/>
      <c r="H139" s="192" t="str">
        <f t="shared" ref="H139:K139" si="136">lower(C139)</f>
        <v>tubefeed</v>
      </c>
      <c r="I139" s="192" t="str">
        <f t="shared" si="136"/>
        <v>bool</v>
      </c>
      <c r="J139" s="192" t="str">
        <f t="shared" si="136"/>
        <v>does the child tube feed?</v>
      </c>
      <c r="K139" s="192" t="str">
        <f t="shared" si="136"/>
        <v>tube_feed</v>
      </c>
      <c r="L139" s="193"/>
      <c r="M139" s="193"/>
      <c r="N139" s="193"/>
      <c r="O139" s="193"/>
      <c r="P139" s="194" t="s">
        <v>4703</v>
      </c>
      <c r="Q139" s="194" t="s">
        <v>4703</v>
      </c>
    </row>
    <row r="140">
      <c r="A140" s="33"/>
      <c r="B140" s="33" t="s">
        <v>4517</v>
      </c>
      <c r="C140" s="12" t="s">
        <v>4704</v>
      </c>
      <c r="D140" s="12" t="s">
        <v>40</v>
      </c>
      <c r="E140" s="61" t="s">
        <v>4704</v>
      </c>
      <c r="F140" s="121" t="s">
        <v>4705</v>
      </c>
      <c r="G140" s="118"/>
      <c r="H140" s="192" t="str">
        <f t="shared" ref="H140:K140" si="137">lower(C140)</f>
        <v>tpn</v>
      </c>
      <c r="I140" s="192" t="str">
        <f t="shared" si="137"/>
        <v>bool</v>
      </c>
      <c r="J140" s="192" t="str">
        <f t="shared" si="137"/>
        <v>tpn</v>
      </c>
      <c r="K140" s="192" t="str">
        <f t="shared" si="137"/>
        <v>tpn</v>
      </c>
      <c r="L140" s="193"/>
      <c r="M140" s="193"/>
      <c r="N140" s="193"/>
      <c r="O140" s="193"/>
      <c r="P140" s="194" t="s">
        <v>4706</v>
      </c>
      <c r="Q140" s="194" t="s">
        <v>4706</v>
      </c>
    </row>
    <row r="141">
      <c r="A141" s="33"/>
      <c r="B141" s="33" t="s">
        <v>4517</v>
      </c>
      <c r="C141" s="12" t="s">
        <v>4707</v>
      </c>
      <c r="D141" s="12" t="s">
        <v>40</v>
      </c>
      <c r="E141" s="61" t="s">
        <v>4708</v>
      </c>
      <c r="F141" s="121" t="s">
        <v>4709</v>
      </c>
      <c r="G141" s="118"/>
      <c r="H141" s="192" t="str">
        <f t="shared" ref="H141:K141" si="138">lower(C141)</f>
        <v>dietmilk</v>
      </c>
      <c r="I141" s="192" t="str">
        <f t="shared" si="138"/>
        <v>bool</v>
      </c>
      <c r="J141" s="192" t="str">
        <f t="shared" si="138"/>
        <v>is the child diet milk?</v>
      </c>
      <c r="K141" s="192" t="str">
        <f t="shared" si="138"/>
        <v>diet_milk</v>
      </c>
      <c r="L141" s="193"/>
      <c r="M141" s="193"/>
      <c r="N141" s="193"/>
      <c r="O141" s="193"/>
      <c r="P141" s="194" t="s">
        <v>4710</v>
      </c>
      <c r="Q141" s="194" t="s">
        <v>4710</v>
      </c>
    </row>
    <row r="142">
      <c r="A142" s="33"/>
      <c r="B142" s="33" t="s">
        <v>4517</v>
      </c>
      <c r="C142" s="12" t="s">
        <v>4711</v>
      </c>
      <c r="D142" s="12" t="s">
        <v>40</v>
      </c>
      <c r="E142" s="61" t="s">
        <v>4712</v>
      </c>
      <c r="F142" s="121" t="s">
        <v>4713</v>
      </c>
      <c r="G142" s="118"/>
      <c r="H142" s="192" t="str">
        <f t="shared" ref="H142:K142" si="139">lower(C142)</f>
        <v>diettablefood</v>
      </c>
      <c r="I142" s="192" t="str">
        <f t="shared" si="139"/>
        <v>bool</v>
      </c>
      <c r="J142" s="192" t="str">
        <f t="shared" si="139"/>
        <v>is the child diet table food?</v>
      </c>
      <c r="K142" s="192" t="str">
        <f t="shared" si="139"/>
        <v>diet_table_food</v>
      </c>
      <c r="L142" s="193"/>
      <c r="M142" s="193"/>
      <c r="N142" s="193"/>
      <c r="O142" s="193"/>
      <c r="P142" s="194" t="s">
        <v>4714</v>
      </c>
      <c r="Q142" s="194" t="s">
        <v>4714</v>
      </c>
    </row>
    <row r="143">
      <c r="A143" s="33"/>
      <c r="B143" s="33" t="s">
        <v>4517</v>
      </c>
      <c r="C143" s="12" t="s">
        <v>4715</v>
      </c>
      <c r="D143" s="12" t="s">
        <v>40</v>
      </c>
      <c r="E143" s="61" t="s">
        <v>4716</v>
      </c>
      <c r="F143" s="121" t="s">
        <v>4717</v>
      </c>
      <c r="G143" s="118"/>
      <c r="H143" s="192" t="str">
        <f t="shared" ref="H143:K143" si="140">lower(C143)</f>
        <v>dietsoftfood</v>
      </c>
      <c r="I143" s="192" t="str">
        <f t="shared" si="140"/>
        <v>bool</v>
      </c>
      <c r="J143" s="192" t="str">
        <f t="shared" si="140"/>
        <v>is the child diet soft food?</v>
      </c>
      <c r="K143" s="192" t="str">
        <f t="shared" si="140"/>
        <v>diet_soft_food</v>
      </c>
      <c r="L143" s="193"/>
      <c r="M143" s="193"/>
      <c r="N143" s="193"/>
      <c r="O143" s="193"/>
      <c r="P143" s="194" t="s">
        <v>4718</v>
      </c>
      <c r="Q143" s="194" t="s">
        <v>4718</v>
      </c>
    </row>
    <row r="144">
      <c r="A144" s="33"/>
      <c r="B144" s="33" t="s">
        <v>4517</v>
      </c>
      <c r="C144" s="12" t="s">
        <v>4719</v>
      </c>
      <c r="D144" s="12" t="s">
        <v>40</v>
      </c>
      <c r="E144" s="61" t="s">
        <v>4720</v>
      </c>
      <c r="F144" s="121" t="s">
        <v>4721</v>
      </c>
      <c r="G144" s="118"/>
      <c r="H144" s="192" t="str">
        <f t="shared" ref="H144:K144" si="141">lower(C144)</f>
        <v>dietliquid</v>
      </c>
      <c r="I144" s="192" t="str">
        <f t="shared" si="141"/>
        <v>bool</v>
      </c>
      <c r="J144" s="192" t="str">
        <f t="shared" si="141"/>
        <v>is the child diet liquids?</v>
      </c>
      <c r="K144" s="192" t="str">
        <f t="shared" si="141"/>
        <v>diet_liquid</v>
      </c>
      <c r="L144" s="193"/>
      <c r="M144" s="193"/>
      <c r="N144" s="193"/>
      <c r="O144" s="193"/>
      <c r="P144" s="194" t="s">
        <v>4722</v>
      </c>
      <c r="Q144" s="194" t="s">
        <v>4722</v>
      </c>
    </row>
    <row r="145">
      <c r="A145" s="33"/>
      <c r="B145" s="33" t="s">
        <v>4517</v>
      </c>
      <c r="C145" s="12" t="s">
        <v>4723</v>
      </c>
      <c r="D145" s="12" t="s">
        <v>40</v>
      </c>
      <c r="E145" s="61" t="s">
        <v>4724</v>
      </c>
      <c r="F145" s="121" t="s">
        <v>4725</v>
      </c>
      <c r="G145" s="118"/>
      <c r="H145" s="192" t="str">
        <f t="shared" ref="H145:K145" si="142">lower(C145)</f>
        <v>dietthickendliquid</v>
      </c>
      <c r="I145" s="192" t="str">
        <f t="shared" si="142"/>
        <v>bool</v>
      </c>
      <c r="J145" s="192" t="str">
        <f t="shared" si="142"/>
        <v>is the child diet thickened liquids?</v>
      </c>
      <c r="K145" s="192" t="str">
        <f t="shared" si="142"/>
        <v>diet_thickend_liquid</v>
      </c>
      <c r="L145" s="193"/>
      <c r="M145" s="193"/>
      <c r="N145" s="193"/>
      <c r="O145" s="193"/>
      <c r="P145" s="194" t="s">
        <v>4726</v>
      </c>
      <c r="Q145" s="194" t="s">
        <v>4726</v>
      </c>
    </row>
    <row r="146">
      <c r="A146" s="33"/>
      <c r="B146" s="33" t="s">
        <v>4517</v>
      </c>
      <c r="C146" s="12" t="s">
        <v>4727</v>
      </c>
      <c r="D146" s="12" t="s">
        <v>40</v>
      </c>
      <c r="E146" s="61" t="s">
        <v>4728</v>
      </c>
      <c r="F146" s="121" t="s">
        <v>4729</v>
      </c>
      <c r="G146" s="118"/>
      <c r="H146" s="192" t="str">
        <f t="shared" ref="H146:K146" si="143">lower(C146)</f>
        <v>subcutaneousfatnecrosis</v>
      </c>
      <c r="I146" s="192" t="str">
        <f t="shared" si="143"/>
        <v>bool</v>
      </c>
      <c r="J146" s="192" t="str">
        <f t="shared" si="143"/>
        <v>subcutaneous fat necrosis?</v>
      </c>
      <c r="K146" s="192" t="str">
        <f t="shared" si="143"/>
        <v>subcutaneous_fat_necrosis</v>
      </c>
      <c r="L146" s="193"/>
      <c r="M146" s="193"/>
      <c r="N146" s="193"/>
      <c r="O146" s="193"/>
      <c r="P146" s="194"/>
      <c r="Q146" s="194" t="s">
        <v>4730</v>
      </c>
    </row>
    <row r="147">
      <c r="A147" s="33"/>
      <c r="B147" s="33" t="s">
        <v>4517</v>
      </c>
      <c r="C147" s="12" t="s">
        <v>4731</v>
      </c>
      <c r="D147" s="12" t="s">
        <v>40</v>
      </c>
      <c r="E147" s="61" t="s">
        <v>4732</v>
      </c>
      <c r="F147" s="121" t="s">
        <v>4733</v>
      </c>
      <c r="G147" s="118"/>
      <c r="H147" s="192" t="str">
        <f t="shared" ref="H147:K147" si="144">lower(C147)</f>
        <v>equipmentforstanding</v>
      </c>
      <c r="I147" s="192" t="str">
        <f t="shared" si="144"/>
        <v>bool</v>
      </c>
      <c r="J147" s="192" t="str">
        <f t="shared" si="144"/>
        <v>equipment (for standing/foot)</v>
      </c>
      <c r="K147" s="192" t="str">
        <f t="shared" si="144"/>
        <v>equipment_for_standing</v>
      </c>
      <c r="L147" s="193"/>
      <c r="M147" s="193"/>
      <c r="N147" s="193"/>
      <c r="O147" s="193"/>
      <c r="P147" s="194" t="s">
        <v>4734</v>
      </c>
      <c r="Q147" s="194" t="s">
        <v>4734</v>
      </c>
    </row>
    <row r="148">
      <c r="A148" s="33"/>
      <c r="B148" s="33" t="s">
        <v>4517</v>
      </c>
      <c r="C148" s="12" t="s">
        <v>4735</v>
      </c>
      <c r="D148" s="12" t="s">
        <v>40</v>
      </c>
      <c r="E148" s="61" t="s">
        <v>4736</v>
      </c>
      <c r="F148" s="121" t="s">
        <v>4737</v>
      </c>
      <c r="G148" s="118"/>
      <c r="H148" s="192" t="str">
        <f t="shared" ref="H148:K148" si="145">lower(C148)</f>
        <v>adaptedstroller</v>
      </c>
      <c r="I148" s="192" t="str">
        <f t="shared" si="145"/>
        <v>bool</v>
      </c>
      <c r="J148" s="192" t="str">
        <f t="shared" si="145"/>
        <v>adapted stroller / wheelchair</v>
      </c>
      <c r="K148" s="192" t="str">
        <f t="shared" si="145"/>
        <v>adapted_stroller</v>
      </c>
      <c r="L148" s="193"/>
      <c r="M148" s="193"/>
      <c r="N148" s="193"/>
      <c r="O148" s="193"/>
      <c r="P148" s="194" t="s">
        <v>4738</v>
      </c>
      <c r="Q148" s="194" t="s">
        <v>4738</v>
      </c>
    </row>
    <row r="149">
      <c r="A149" s="33"/>
      <c r="B149" s="33" t="s">
        <v>4517</v>
      </c>
      <c r="C149" s="12" t="s">
        <v>4739</v>
      </c>
      <c r="D149" s="12" t="s">
        <v>40</v>
      </c>
      <c r="E149" s="61" t="s">
        <v>4740</v>
      </c>
      <c r="F149" s="121" t="s">
        <v>4741</v>
      </c>
      <c r="G149" s="118"/>
      <c r="H149" s="192" t="str">
        <f t="shared" ref="H149:K149" si="146">lower(C149)</f>
        <v>bracesorthotics</v>
      </c>
      <c r="I149" s="192" t="str">
        <f t="shared" si="146"/>
        <v>bool</v>
      </c>
      <c r="J149" s="192" t="str">
        <f t="shared" si="146"/>
        <v>braces / orthotics</v>
      </c>
      <c r="K149" s="192" t="str">
        <f t="shared" si="146"/>
        <v>braces_orthotics</v>
      </c>
      <c r="L149" s="193"/>
      <c r="M149" s="193"/>
      <c r="N149" s="193"/>
      <c r="O149" s="193"/>
      <c r="P149" s="194" t="s">
        <v>4742</v>
      </c>
      <c r="Q149" s="194" t="s">
        <v>4742</v>
      </c>
    </row>
    <row r="150">
      <c r="A150" s="33"/>
      <c r="B150" s="33" t="s">
        <v>4517</v>
      </c>
      <c r="C150" s="12" t="s">
        <v>4743</v>
      </c>
      <c r="D150" s="12" t="s">
        <v>40</v>
      </c>
      <c r="E150" s="61" t="s">
        <v>4743</v>
      </c>
      <c r="F150" s="121" t="s">
        <v>4743</v>
      </c>
      <c r="G150" s="118"/>
      <c r="H150" s="192" t="str">
        <f t="shared" ref="H150:K150" si="147">lower(C150)</f>
        <v>walker</v>
      </c>
      <c r="I150" s="192" t="str">
        <f t="shared" si="147"/>
        <v>bool</v>
      </c>
      <c r="J150" s="192" t="str">
        <f t="shared" si="147"/>
        <v>walker</v>
      </c>
      <c r="K150" s="192" t="str">
        <f t="shared" si="147"/>
        <v>walker</v>
      </c>
      <c r="L150" s="193"/>
      <c r="M150" s="193"/>
      <c r="N150" s="193"/>
      <c r="O150" s="193"/>
      <c r="P150" s="194" t="s">
        <v>4744</v>
      </c>
      <c r="Q150" s="194" t="s">
        <v>4744</v>
      </c>
    </row>
    <row r="151">
      <c r="A151" s="33"/>
      <c r="B151" s="33" t="s">
        <v>4517</v>
      </c>
      <c r="C151" s="12" t="s">
        <v>4745</v>
      </c>
      <c r="D151" s="12" t="s">
        <v>40</v>
      </c>
      <c r="E151" s="61" t="s">
        <v>4745</v>
      </c>
      <c r="F151" s="121" t="s">
        <v>4745</v>
      </c>
      <c r="G151" s="118"/>
      <c r="H151" s="192" t="str">
        <f t="shared" ref="H151:K151" si="148">lower(C151)</f>
        <v>stander</v>
      </c>
      <c r="I151" s="192" t="str">
        <f t="shared" si="148"/>
        <v>bool</v>
      </c>
      <c r="J151" s="192" t="str">
        <f t="shared" si="148"/>
        <v>stander</v>
      </c>
      <c r="K151" s="192" t="str">
        <f t="shared" si="148"/>
        <v>stander</v>
      </c>
      <c r="L151" s="193"/>
      <c r="M151" s="193"/>
      <c r="N151" s="193"/>
      <c r="O151" s="193"/>
      <c r="P151" s="194" t="s">
        <v>4746</v>
      </c>
      <c r="Q151" s="194" t="s">
        <v>4746</v>
      </c>
    </row>
    <row r="152">
      <c r="A152" s="33"/>
      <c r="B152" s="33" t="s">
        <v>4517</v>
      </c>
      <c r="C152" s="12" t="s">
        <v>4747</v>
      </c>
      <c r="D152" s="12" t="s">
        <v>40</v>
      </c>
      <c r="E152" s="61" t="s">
        <v>4748</v>
      </c>
      <c r="F152" s="121" t="s">
        <v>4749</v>
      </c>
      <c r="G152" s="118"/>
      <c r="H152" s="192" t="str">
        <f t="shared" ref="H152:K152" si="149">lower(C152)</f>
        <v>cornerchairtumblerform</v>
      </c>
      <c r="I152" s="192" t="str">
        <f t="shared" si="149"/>
        <v>bool</v>
      </c>
      <c r="J152" s="192" t="str">
        <f t="shared" si="149"/>
        <v>corner chairs or tumbler form</v>
      </c>
      <c r="K152" s="192" t="str">
        <f t="shared" si="149"/>
        <v>corner_chair_tumbler_form</v>
      </c>
      <c r="L152" s="193"/>
      <c r="M152" s="193"/>
      <c r="N152" s="193"/>
      <c r="O152" s="193"/>
      <c r="P152" s="194" t="s">
        <v>4750</v>
      </c>
      <c r="Q152" s="194" t="s">
        <v>4750</v>
      </c>
    </row>
    <row r="153">
      <c r="A153" s="33"/>
      <c r="B153" s="33"/>
      <c r="C153" s="118"/>
      <c r="D153" s="12"/>
      <c r="E153" s="61" t="s">
        <v>5326</v>
      </c>
      <c r="F153" s="121" t="s">
        <v>851</v>
      </c>
      <c r="G153" s="118"/>
      <c r="H153" s="192" t="str">
        <f t="shared" ref="H153:K153" si="150">lower(C153)</f>
        <v/>
      </c>
      <c r="I153" s="192" t="str">
        <f t="shared" si="150"/>
        <v/>
      </c>
      <c r="J153" s="192" t="str">
        <f t="shared" si="150"/>
        <v>form completion - where was interview conducted</v>
      </c>
      <c r="K153" s="192" t="str">
        <f t="shared" si="150"/>
        <v/>
      </c>
      <c r="L153" s="193"/>
      <c r="M153" s="193"/>
      <c r="N153" s="193"/>
      <c r="O153" s="193"/>
      <c r="P153" s="194"/>
      <c r="Q153" s="194"/>
    </row>
    <row r="154">
      <c r="A154" s="33"/>
      <c r="B154" s="33"/>
      <c r="C154" s="118"/>
      <c r="D154" s="12"/>
      <c r="E154" s="61" t="s">
        <v>5326</v>
      </c>
      <c r="F154" s="121" t="s">
        <v>851</v>
      </c>
      <c r="G154" s="118"/>
      <c r="H154" s="192" t="str">
        <f t="shared" ref="H154:K154" si="151">lower(C154)</f>
        <v/>
      </c>
      <c r="I154" s="192" t="str">
        <f t="shared" si="151"/>
        <v/>
      </c>
      <c r="J154" s="192" t="str">
        <f t="shared" si="151"/>
        <v>form completion - where was interview conducted</v>
      </c>
      <c r="K154" s="192" t="str">
        <f t="shared" si="151"/>
        <v/>
      </c>
      <c r="L154" s="193"/>
      <c r="M154" s="193"/>
      <c r="N154" s="193"/>
      <c r="O154" s="193"/>
      <c r="P154" s="194"/>
      <c r="Q154" s="194"/>
    </row>
    <row r="155">
      <c r="A155" s="33"/>
      <c r="B155" s="33"/>
      <c r="C155" s="118"/>
      <c r="D155" s="12"/>
      <c r="E155" s="61" t="s">
        <v>8456</v>
      </c>
      <c r="F155" s="121" t="s">
        <v>851</v>
      </c>
      <c r="G155" s="118"/>
      <c r="H155" s="192" t="str">
        <f t="shared" ref="H155:K155" si="152">lower(C155)</f>
        <v/>
      </c>
      <c r="I155" s="192" t="str">
        <f t="shared" si="152"/>
        <v/>
      </c>
      <c r="J155" s="192" t="str">
        <f t="shared" si="152"/>
        <v>form completion - date when medical history obtained</v>
      </c>
      <c r="K155" s="192" t="str">
        <f t="shared" si="152"/>
        <v/>
      </c>
      <c r="L155" s="193"/>
      <c r="M155" s="193"/>
      <c r="N155" s="193"/>
      <c r="O155" s="193"/>
      <c r="P155" s="194"/>
      <c r="Q155" s="194"/>
    </row>
    <row r="156">
      <c r="A156" s="33"/>
      <c r="B156" s="33"/>
      <c r="C156" s="118"/>
      <c r="D156" s="12"/>
      <c r="E156" s="61" t="s">
        <v>8457</v>
      </c>
      <c r="F156" s="121" t="s">
        <v>851</v>
      </c>
      <c r="G156" s="118"/>
      <c r="H156" s="192" t="str">
        <f t="shared" ref="H156:K156" si="153">lower(C156)</f>
        <v/>
      </c>
      <c r="I156" s="192" t="str">
        <f t="shared" si="153"/>
        <v/>
      </c>
      <c r="J156" s="192" t="str">
        <f t="shared" si="153"/>
        <v>form completion - initials of person filling the form</v>
      </c>
      <c r="K156" s="192" t="str">
        <f t="shared" si="153"/>
        <v/>
      </c>
      <c r="L156" s="193"/>
      <c r="M156" s="193"/>
      <c r="N156" s="193"/>
      <c r="O156" s="193"/>
      <c r="P156" s="194"/>
      <c r="Q156" s="194"/>
    </row>
    <row r="157">
      <c r="A157" s="33"/>
      <c r="B157" s="33"/>
      <c r="C157" s="118"/>
      <c r="D157" s="118"/>
      <c r="F157" s="121" t="s">
        <v>851</v>
      </c>
      <c r="G157" s="118"/>
      <c r="H157" s="192" t="str">
        <f t="shared" ref="H157:K157" si="154">lower(C157)</f>
        <v/>
      </c>
      <c r="I157" s="192" t="str">
        <f t="shared" si="154"/>
        <v/>
      </c>
      <c r="J157" s="192" t="str">
        <f t="shared" si="154"/>
        <v/>
      </c>
      <c r="K157" s="192" t="str">
        <f t="shared" si="154"/>
        <v/>
      </c>
      <c r="L157" s="193"/>
      <c r="M157" s="193"/>
      <c r="N157" s="193"/>
      <c r="O157" s="193"/>
      <c r="P157" s="193"/>
      <c r="Q157" s="193"/>
    </row>
    <row r="158">
      <c r="A158" s="33"/>
      <c r="B158" s="33"/>
      <c r="C158" s="118"/>
      <c r="D158" s="118"/>
      <c r="F158" s="121" t="s">
        <v>851</v>
      </c>
      <c r="G158" s="118"/>
      <c r="H158" s="192" t="str">
        <f t="shared" ref="H158:K158" si="155">lower(C158)</f>
        <v/>
      </c>
      <c r="I158" s="192" t="str">
        <f t="shared" si="155"/>
        <v/>
      </c>
      <c r="J158" s="192" t="str">
        <f t="shared" si="155"/>
        <v/>
      </c>
      <c r="K158" s="192" t="str">
        <f t="shared" si="155"/>
        <v/>
      </c>
      <c r="L158" s="193"/>
      <c r="M158" s="193"/>
      <c r="N158" s="193"/>
      <c r="O158" s="193"/>
      <c r="P158" s="193"/>
      <c r="Q158" s="193"/>
    </row>
    <row r="159">
      <c r="A159" s="33" t="s">
        <v>4205</v>
      </c>
      <c r="B159" s="33" t="s">
        <v>4751</v>
      </c>
      <c r="C159" s="12" t="s">
        <v>4752</v>
      </c>
      <c r="D159" s="12" t="s">
        <v>483</v>
      </c>
      <c r="F159" s="121" t="s">
        <v>8458</v>
      </c>
      <c r="G159" s="118"/>
      <c r="H159" s="192" t="str">
        <f t="shared" ref="H159:K159" si="156">lower(C159)</f>
        <v>weight_cm</v>
      </c>
      <c r="I159" s="192" t="str">
        <f t="shared" si="156"/>
        <v>float</v>
      </c>
      <c r="J159" s="192" t="str">
        <f t="shared" si="156"/>
        <v/>
      </c>
      <c r="K159" s="192" t="str">
        <f t="shared" si="156"/>
        <v>weight</v>
      </c>
      <c r="L159" s="151" t="s">
        <v>8395</v>
      </c>
      <c r="M159" s="193"/>
      <c r="N159" s="193"/>
      <c r="O159" s="193"/>
      <c r="P159" s="194" t="s">
        <v>4753</v>
      </c>
      <c r="Q159" s="194" t="s">
        <v>4753</v>
      </c>
    </row>
    <row r="160">
      <c r="A160" s="33"/>
      <c r="B160" s="33" t="s">
        <v>4751</v>
      </c>
      <c r="C160" s="12" t="s">
        <v>4754</v>
      </c>
      <c r="D160" s="12" t="s">
        <v>483</v>
      </c>
      <c r="F160" s="121" t="s">
        <v>8459</v>
      </c>
      <c r="G160" s="118"/>
      <c r="H160" s="192" t="str">
        <f t="shared" ref="H160:K160" si="157">lower(C160)</f>
        <v>length_cm</v>
      </c>
      <c r="I160" s="192" t="str">
        <f t="shared" si="157"/>
        <v>float</v>
      </c>
      <c r="J160" s="192" t="str">
        <f t="shared" si="157"/>
        <v/>
      </c>
      <c r="K160" s="192" t="str">
        <f t="shared" si="157"/>
        <v>length</v>
      </c>
      <c r="L160" s="194" t="s">
        <v>8396</v>
      </c>
      <c r="M160" s="193"/>
      <c r="N160" s="193"/>
      <c r="O160" s="193"/>
      <c r="P160" s="194" t="s">
        <v>4755</v>
      </c>
      <c r="Q160" s="194" t="s">
        <v>4755</v>
      </c>
    </row>
    <row r="161">
      <c r="A161" s="33"/>
      <c r="B161" s="33" t="s">
        <v>4751</v>
      </c>
      <c r="C161" s="12" t="s">
        <v>4756</v>
      </c>
      <c r="D161" s="12" t="s">
        <v>483</v>
      </c>
      <c r="F161" s="121" t="s">
        <v>8460</v>
      </c>
      <c r="G161" s="118"/>
      <c r="H161" s="192" t="str">
        <f t="shared" ref="H161:K161" si="158">lower(C161)</f>
        <v>headcircumference_cm</v>
      </c>
      <c r="I161" s="192" t="str">
        <f t="shared" si="158"/>
        <v>float</v>
      </c>
      <c r="J161" s="192" t="str">
        <f t="shared" si="158"/>
        <v/>
      </c>
      <c r="K161" s="192" t="str">
        <f t="shared" si="158"/>
        <v>head_circumference</v>
      </c>
      <c r="L161" s="193"/>
      <c r="M161" s="193"/>
      <c r="N161" s="193"/>
      <c r="O161" s="193"/>
      <c r="P161" s="194" t="s">
        <v>4758</v>
      </c>
      <c r="Q161" s="194" t="s">
        <v>4758</v>
      </c>
    </row>
    <row r="162">
      <c r="A162" s="33"/>
      <c r="B162" s="33" t="s">
        <v>4751</v>
      </c>
      <c r="C162" s="12" t="s">
        <v>4759</v>
      </c>
      <c r="D162" s="12" t="s">
        <v>4760</v>
      </c>
      <c r="E162" s="61" t="s">
        <v>4761</v>
      </c>
      <c r="F162" s="121" t="s">
        <v>4762</v>
      </c>
      <c r="G162" s="118"/>
      <c r="H162" s="192" t="str">
        <f t="shared" ref="H162:K162" si="159">lower(C162)</f>
        <v>strabismusright</v>
      </c>
      <c r="I162" s="192" t="str">
        <f t="shared" si="159"/>
        <v>eye</v>
      </c>
      <c r="J162" s="192" t="str">
        <f t="shared" si="159"/>
        <v>strabismus - right</v>
      </c>
      <c r="K162" s="192" t="str">
        <f t="shared" si="159"/>
        <v>strabismus_right</v>
      </c>
      <c r="L162" s="194" t="s">
        <v>8461</v>
      </c>
      <c r="M162" s="193"/>
      <c r="N162" s="193"/>
      <c r="O162" s="193"/>
      <c r="P162" s="194" t="s">
        <v>4763</v>
      </c>
      <c r="Q162" s="194" t="s">
        <v>4763</v>
      </c>
    </row>
    <row r="163">
      <c r="A163" s="33"/>
      <c r="B163" s="33" t="s">
        <v>4751</v>
      </c>
      <c r="C163" s="12" t="s">
        <v>4764</v>
      </c>
      <c r="D163" s="12" t="s">
        <v>4760</v>
      </c>
      <c r="E163" s="61" t="s">
        <v>4765</v>
      </c>
      <c r="F163" s="121" t="s">
        <v>4766</v>
      </c>
      <c r="G163" s="118"/>
      <c r="H163" s="192" t="str">
        <f t="shared" ref="H163:K163" si="160">lower(C163)</f>
        <v>strabismusleft</v>
      </c>
      <c r="I163" s="192" t="str">
        <f t="shared" si="160"/>
        <v>eye</v>
      </c>
      <c r="J163" s="192" t="str">
        <f t="shared" si="160"/>
        <v>strabismus - left</v>
      </c>
      <c r="K163" s="192" t="str">
        <f t="shared" si="160"/>
        <v>strabismus_left</v>
      </c>
      <c r="L163" s="194" t="s">
        <v>8461</v>
      </c>
      <c r="M163" s="193"/>
      <c r="N163" s="193"/>
      <c r="O163" s="193"/>
      <c r="P163" s="194" t="s">
        <v>4767</v>
      </c>
      <c r="Q163" s="194" t="s">
        <v>4767</v>
      </c>
    </row>
    <row r="164">
      <c r="A164" s="33"/>
      <c r="B164" s="33" t="s">
        <v>4751</v>
      </c>
      <c r="C164" s="12" t="s">
        <v>4768</v>
      </c>
      <c r="D164" s="12" t="s">
        <v>4760</v>
      </c>
      <c r="E164" s="61" t="s">
        <v>4769</v>
      </c>
      <c r="F164" s="121" t="s">
        <v>4770</v>
      </c>
      <c r="G164" s="118"/>
      <c r="H164" s="192" t="str">
        <f t="shared" ref="H164:K164" si="161">lower(C164)</f>
        <v>nystagmusright</v>
      </c>
      <c r="I164" s="192" t="str">
        <f t="shared" si="161"/>
        <v>eye</v>
      </c>
      <c r="J164" s="192" t="str">
        <f t="shared" si="161"/>
        <v>nystagmus - right</v>
      </c>
      <c r="K164" s="192" t="str">
        <f t="shared" si="161"/>
        <v>nystagmus_right</v>
      </c>
      <c r="L164" s="194" t="s">
        <v>8462</v>
      </c>
      <c r="M164" s="193"/>
      <c r="N164" s="193"/>
      <c r="O164" s="193"/>
      <c r="P164" s="194" t="s">
        <v>4771</v>
      </c>
      <c r="Q164" s="194" t="s">
        <v>4771</v>
      </c>
    </row>
    <row r="165">
      <c r="A165" s="33"/>
      <c r="B165" s="33" t="s">
        <v>4751</v>
      </c>
      <c r="C165" s="12" t="s">
        <v>4772</v>
      </c>
      <c r="D165" s="12" t="s">
        <v>4760</v>
      </c>
      <c r="E165" s="61" t="s">
        <v>4773</v>
      </c>
      <c r="F165" s="121" t="s">
        <v>4774</v>
      </c>
      <c r="G165" s="118"/>
      <c r="H165" s="192" t="str">
        <f t="shared" ref="H165:K165" si="162">lower(C165)</f>
        <v>nystagmusleft</v>
      </c>
      <c r="I165" s="192" t="str">
        <f t="shared" si="162"/>
        <v>eye</v>
      </c>
      <c r="J165" s="192" t="str">
        <f t="shared" si="162"/>
        <v>nystagmus - left</v>
      </c>
      <c r="K165" s="192" t="str">
        <f t="shared" si="162"/>
        <v>nystagmus_left</v>
      </c>
      <c r="L165" s="194" t="s">
        <v>8462</v>
      </c>
      <c r="M165" s="193"/>
      <c r="N165" s="193"/>
      <c r="O165" s="193"/>
      <c r="P165" s="194" t="s">
        <v>4775</v>
      </c>
      <c r="Q165" s="194" t="s">
        <v>4775</v>
      </c>
    </row>
    <row r="166">
      <c r="A166" s="33"/>
      <c r="B166" s="33" t="s">
        <v>4751</v>
      </c>
      <c r="C166" s="12" t="s">
        <v>4776</v>
      </c>
      <c r="D166" s="12" t="s">
        <v>4760</v>
      </c>
      <c r="E166" s="61" t="s">
        <v>4777</v>
      </c>
      <c r="F166" s="121" t="s">
        <v>4778</v>
      </c>
      <c r="G166" s="118"/>
      <c r="H166" s="192" t="str">
        <f t="shared" ref="H166:K166" si="163">lower(C166)</f>
        <v>rovingeyemovementright</v>
      </c>
      <c r="I166" s="192" t="str">
        <f t="shared" si="163"/>
        <v>eye</v>
      </c>
      <c r="J166" s="192" t="str">
        <f t="shared" si="163"/>
        <v>roving eye movement - right</v>
      </c>
      <c r="K166" s="192" t="str">
        <f t="shared" si="163"/>
        <v>roving_eye_movement_right</v>
      </c>
      <c r="L166" s="193"/>
      <c r="M166" s="193"/>
      <c r="N166" s="193"/>
      <c r="O166" s="193"/>
      <c r="P166" s="194" t="s">
        <v>4779</v>
      </c>
      <c r="Q166" s="194" t="s">
        <v>4779</v>
      </c>
    </row>
    <row r="167">
      <c r="A167" s="33"/>
      <c r="B167" s="33" t="s">
        <v>4751</v>
      </c>
      <c r="C167" s="12" t="s">
        <v>4780</v>
      </c>
      <c r="D167" s="12" t="s">
        <v>4760</v>
      </c>
      <c r="E167" s="61" t="s">
        <v>4781</v>
      </c>
      <c r="F167" s="121" t="s">
        <v>4782</v>
      </c>
      <c r="G167" s="118"/>
      <c r="H167" s="192" t="str">
        <f t="shared" ref="H167:K167" si="164">lower(C167)</f>
        <v>rovingeyemovementleft</v>
      </c>
      <c r="I167" s="192" t="str">
        <f t="shared" si="164"/>
        <v>eye</v>
      </c>
      <c r="J167" s="192" t="str">
        <f t="shared" si="164"/>
        <v>roving eye movement - left</v>
      </c>
      <c r="K167" s="192" t="str">
        <f t="shared" si="164"/>
        <v>roving_eye_movement_left</v>
      </c>
      <c r="L167" s="193"/>
      <c r="M167" s="193"/>
      <c r="N167" s="193"/>
      <c r="O167" s="193"/>
      <c r="P167" s="194" t="s">
        <v>4783</v>
      </c>
      <c r="Q167" s="194" t="s">
        <v>4783</v>
      </c>
    </row>
    <row r="168">
      <c r="A168" s="33"/>
      <c r="B168" s="33" t="s">
        <v>4751</v>
      </c>
      <c r="C168" s="12" t="s">
        <v>4784</v>
      </c>
      <c r="D168" s="12" t="s">
        <v>4760</v>
      </c>
      <c r="E168" s="61" t="s">
        <v>4785</v>
      </c>
      <c r="F168" s="121" t="s">
        <v>4786</v>
      </c>
      <c r="G168" s="118"/>
      <c r="H168" s="192" t="str">
        <f t="shared" ref="H168:K168" si="165">lower(C168)</f>
        <v>eyetrackright</v>
      </c>
      <c r="I168" s="192" t="str">
        <f t="shared" si="165"/>
        <v>eye</v>
      </c>
      <c r="J168" s="192" t="str">
        <f t="shared" si="165"/>
        <v>tracks - right</v>
      </c>
      <c r="K168" s="192" t="str">
        <f t="shared" si="165"/>
        <v>eye_track_right</v>
      </c>
      <c r="L168" s="193"/>
      <c r="M168" s="193"/>
      <c r="N168" s="193"/>
      <c r="O168" s="193"/>
      <c r="P168" s="194" t="s">
        <v>4787</v>
      </c>
      <c r="Q168" s="194" t="s">
        <v>4787</v>
      </c>
    </row>
    <row r="169">
      <c r="A169" s="33"/>
      <c r="B169" s="33" t="s">
        <v>4751</v>
      </c>
      <c r="C169" s="12" t="s">
        <v>4788</v>
      </c>
      <c r="D169" s="12" t="s">
        <v>4760</v>
      </c>
      <c r="E169" s="61" t="s">
        <v>4789</v>
      </c>
      <c r="F169" s="121" t="s">
        <v>4790</v>
      </c>
      <c r="G169" s="118"/>
      <c r="H169" s="192" t="str">
        <f t="shared" ref="H169:K169" si="166">lower(C169)</f>
        <v>eyetrackleft</v>
      </c>
      <c r="I169" s="192" t="str">
        <f t="shared" si="166"/>
        <v>eye</v>
      </c>
      <c r="J169" s="192" t="str">
        <f t="shared" si="166"/>
        <v>tracks - left</v>
      </c>
      <c r="K169" s="192" t="str">
        <f t="shared" si="166"/>
        <v>eye_track_left</v>
      </c>
      <c r="L169" s="193"/>
      <c r="M169" s="193"/>
      <c r="N169" s="193"/>
      <c r="O169" s="193"/>
      <c r="P169" s="194" t="s">
        <v>4791</v>
      </c>
      <c r="Q169" s="194" t="s">
        <v>4791</v>
      </c>
    </row>
    <row r="170">
      <c r="A170" s="33"/>
      <c r="B170" s="33" t="s">
        <v>4751</v>
      </c>
      <c r="C170" s="12" t="s">
        <v>4792</v>
      </c>
      <c r="D170" s="12" t="s">
        <v>4793</v>
      </c>
      <c r="E170" s="61" t="s">
        <v>4794</v>
      </c>
      <c r="F170" s="121" t="s">
        <v>4795</v>
      </c>
      <c r="G170" s="118"/>
      <c r="H170" s="192" t="str">
        <f t="shared" ref="H170:K170" si="167">lower(C170)</f>
        <v>visionright</v>
      </c>
      <c r="I170" s="192" t="str">
        <f t="shared" si="167"/>
        <v>vision</v>
      </c>
      <c r="J170" s="192" t="str">
        <f t="shared" si="167"/>
        <v>vision - right</v>
      </c>
      <c r="K170" s="192" t="str">
        <f t="shared" si="167"/>
        <v>vision_right</v>
      </c>
      <c r="L170" s="193"/>
      <c r="M170" s="193"/>
      <c r="N170" s="193"/>
      <c r="O170" s="193"/>
      <c r="P170" s="194" t="s">
        <v>4796</v>
      </c>
      <c r="Q170" s="194" t="s">
        <v>4796</v>
      </c>
    </row>
    <row r="171">
      <c r="A171" s="33"/>
      <c r="B171" s="33" t="s">
        <v>4751</v>
      </c>
      <c r="C171" s="12" t="s">
        <v>4797</v>
      </c>
      <c r="D171" s="12" t="s">
        <v>4793</v>
      </c>
      <c r="E171" s="61" t="s">
        <v>4798</v>
      </c>
      <c r="F171" s="121" t="s">
        <v>4799</v>
      </c>
      <c r="G171" s="118"/>
      <c r="H171" s="192" t="str">
        <f t="shared" ref="H171:K171" si="168">lower(C171)</f>
        <v>visionleft</v>
      </c>
      <c r="I171" s="192" t="str">
        <f t="shared" si="168"/>
        <v>vision</v>
      </c>
      <c r="J171" s="192" t="str">
        <f t="shared" si="168"/>
        <v>vision - left</v>
      </c>
      <c r="K171" s="192" t="str">
        <f t="shared" si="168"/>
        <v>vision_left</v>
      </c>
      <c r="L171" s="193"/>
      <c r="M171" s="193"/>
      <c r="N171" s="193"/>
      <c r="O171" s="193"/>
      <c r="P171" s="194" t="s">
        <v>4800</v>
      </c>
      <c r="Q171" s="194" t="s">
        <v>4800</v>
      </c>
    </row>
    <row r="172">
      <c r="A172" s="33"/>
      <c r="B172" s="33" t="s">
        <v>4751</v>
      </c>
      <c r="C172" s="12" t="s">
        <v>8463</v>
      </c>
      <c r="D172" s="12"/>
      <c r="E172" s="61" t="s">
        <v>8464</v>
      </c>
      <c r="F172" s="121"/>
      <c r="G172" s="118"/>
      <c r="H172" s="192"/>
      <c r="I172" s="192"/>
      <c r="J172" s="192"/>
      <c r="K172" s="192"/>
      <c r="L172" s="193"/>
      <c r="M172" s="193"/>
      <c r="N172" s="194" t="s">
        <v>8465</v>
      </c>
      <c r="O172" s="193"/>
      <c r="P172" s="194"/>
      <c r="Q172" s="194"/>
    </row>
    <row r="173">
      <c r="A173" s="33"/>
      <c r="B173" s="33"/>
      <c r="C173" s="118"/>
      <c r="D173" s="118"/>
      <c r="F173" s="121" t="s">
        <v>851</v>
      </c>
      <c r="G173" s="118"/>
      <c r="H173" s="192" t="str">
        <f t="shared" ref="H173:K173" si="169">lower(C173)</f>
        <v/>
      </c>
      <c r="I173" s="192" t="str">
        <f t="shared" si="169"/>
        <v/>
      </c>
      <c r="J173" s="192" t="str">
        <f t="shared" si="169"/>
        <v/>
      </c>
      <c r="K173" s="192" t="str">
        <f t="shared" si="169"/>
        <v/>
      </c>
      <c r="L173" s="193"/>
      <c r="M173" s="193"/>
      <c r="N173" s="193"/>
      <c r="O173" s="193"/>
      <c r="P173" s="193"/>
      <c r="Q173" s="193"/>
    </row>
    <row r="174">
      <c r="A174" s="33" t="s">
        <v>4205</v>
      </c>
      <c r="B174" s="33" t="s">
        <v>4751</v>
      </c>
      <c r="C174" s="12" t="s">
        <v>4801</v>
      </c>
      <c r="D174" s="12" t="s">
        <v>40</v>
      </c>
      <c r="E174" s="61" t="s">
        <v>4802</v>
      </c>
      <c r="F174" s="121" t="s">
        <v>4803</v>
      </c>
      <c r="G174" s="118"/>
      <c r="H174" s="192" t="str">
        <f t="shared" ref="H174:K174" si="170">lower(C174)</f>
        <v>audiologicassessment</v>
      </c>
      <c r="I174" s="192" t="str">
        <f t="shared" si="170"/>
        <v>bool</v>
      </c>
      <c r="J174" s="192" t="str">
        <f t="shared" si="170"/>
        <v>audiologic assessment?</v>
      </c>
      <c r="K174" s="192" t="str">
        <f t="shared" si="170"/>
        <v>audiologic_assessment</v>
      </c>
      <c r="L174" s="193"/>
      <c r="M174" s="193"/>
      <c r="N174" s="193"/>
      <c r="O174" s="193"/>
      <c r="P174" s="194" t="s">
        <v>4804</v>
      </c>
      <c r="Q174" s="194" t="s">
        <v>4804</v>
      </c>
    </row>
    <row r="175">
      <c r="A175" s="33"/>
      <c r="B175" s="33" t="s">
        <v>4751</v>
      </c>
      <c r="C175" s="12" t="s">
        <v>4805</v>
      </c>
      <c r="D175" s="12" t="s">
        <v>40</v>
      </c>
      <c r="E175" s="61" t="s">
        <v>4806</v>
      </c>
      <c r="F175" s="121" t="s">
        <v>4807</v>
      </c>
      <c r="G175" s="118"/>
      <c r="H175" s="192" t="str">
        <f t="shared" ref="H175:K175" si="171">lower(C175)</f>
        <v>audiologicpendingforassessment</v>
      </c>
      <c r="I175" s="192" t="str">
        <f t="shared" si="171"/>
        <v>bool</v>
      </c>
      <c r="J175" s="192" t="str">
        <f t="shared" si="171"/>
        <v>consult pending for assessment?</v>
      </c>
      <c r="K175" s="192" t="str">
        <f t="shared" si="171"/>
        <v>audiologic_pending_for_assessment</v>
      </c>
      <c r="L175" s="193"/>
      <c r="M175" s="193"/>
      <c r="N175" s="193"/>
      <c r="O175" s="193"/>
      <c r="P175" s="194" t="s">
        <v>4808</v>
      </c>
      <c r="Q175" s="194" t="s">
        <v>4808</v>
      </c>
    </row>
    <row r="176">
      <c r="A176" s="33"/>
      <c r="B176" s="33" t="s">
        <v>4751</v>
      </c>
      <c r="C176" s="12" t="s">
        <v>4809</v>
      </c>
      <c r="D176" s="12" t="s">
        <v>40</v>
      </c>
      <c r="E176" s="61" t="s">
        <v>4810</v>
      </c>
      <c r="F176" s="121" t="s">
        <v>4811</v>
      </c>
      <c r="G176" s="118"/>
      <c r="H176" s="192" t="str">
        <f t="shared" ref="H176:K176" si="172">lower(C176)</f>
        <v>visualreinforcementaudiometry</v>
      </c>
      <c r="I176" s="192" t="str">
        <f t="shared" si="172"/>
        <v>bool</v>
      </c>
      <c r="J176" s="192" t="str">
        <f t="shared" si="172"/>
        <v>visual reinforcement audiometry</v>
      </c>
      <c r="K176" s="192" t="str">
        <f t="shared" si="172"/>
        <v>visual_reinforcement_audiometry</v>
      </c>
      <c r="L176" s="193"/>
      <c r="M176" s="193"/>
      <c r="N176" s="193"/>
      <c r="O176" s="193"/>
      <c r="P176" s="194" t="s">
        <v>4812</v>
      </c>
      <c r="Q176" s="194" t="s">
        <v>4812</v>
      </c>
    </row>
    <row r="177">
      <c r="A177" s="33"/>
      <c r="B177" s="33" t="s">
        <v>4751</v>
      </c>
      <c r="C177" s="12" t="s">
        <v>4813</v>
      </c>
      <c r="D177" s="12" t="s">
        <v>4814</v>
      </c>
      <c r="E177" s="61" t="s">
        <v>4815</v>
      </c>
      <c r="F177" s="121" t="s">
        <v>4816</v>
      </c>
      <c r="G177" s="118"/>
      <c r="H177" s="192" t="str">
        <f t="shared" ref="H177:K177" si="173">lower(C177)</f>
        <v>vraright</v>
      </c>
      <c r="I177" s="192" t="str">
        <f t="shared" si="173"/>
        <v>hearing</v>
      </c>
      <c r="J177" s="192" t="str">
        <f t="shared" si="173"/>
        <v>vra - right</v>
      </c>
      <c r="K177" s="192" t="str">
        <f t="shared" si="173"/>
        <v>vra_right</v>
      </c>
      <c r="L177" s="193"/>
      <c r="M177" s="193"/>
      <c r="N177" s="193"/>
      <c r="O177" s="193"/>
      <c r="P177" s="194" t="s">
        <v>4817</v>
      </c>
      <c r="Q177" s="194" t="s">
        <v>4817</v>
      </c>
    </row>
    <row r="178">
      <c r="A178" s="33"/>
      <c r="B178" s="33" t="s">
        <v>4751</v>
      </c>
      <c r="C178" s="12" t="s">
        <v>4818</v>
      </c>
      <c r="D178" s="12" t="s">
        <v>4814</v>
      </c>
      <c r="E178" s="61" t="s">
        <v>4819</v>
      </c>
      <c r="F178" s="121" t="s">
        <v>4820</v>
      </c>
      <c r="G178" s="118"/>
      <c r="H178" s="192" t="str">
        <f t="shared" ref="H178:K178" si="174">lower(C178)</f>
        <v>vraleft</v>
      </c>
      <c r="I178" s="192" t="str">
        <f t="shared" si="174"/>
        <v>hearing</v>
      </c>
      <c r="J178" s="192" t="str">
        <f t="shared" si="174"/>
        <v>vra - left</v>
      </c>
      <c r="K178" s="192" t="str">
        <f t="shared" si="174"/>
        <v>vra_left</v>
      </c>
      <c r="L178" s="193"/>
      <c r="M178" s="193"/>
      <c r="N178" s="193"/>
      <c r="O178" s="193"/>
      <c r="P178" s="194" t="s">
        <v>4821</v>
      </c>
      <c r="Q178" s="194" t="s">
        <v>4821</v>
      </c>
    </row>
    <row r="179">
      <c r="A179" s="33"/>
      <c r="B179" s="33" t="s">
        <v>4751</v>
      </c>
      <c r="C179" s="12" t="s">
        <v>4822</v>
      </c>
      <c r="D179" s="12" t="s">
        <v>4814</v>
      </c>
      <c r="E179" s="61" t="s">
        <v>4823</v>
      </c>
      <c r="F179" s="121" t="s">
        <v>4824</v>
      </c>
      <c r="G179" s="118"/>
      <c r="H179" s="192" t="str">
        <f t="shared" ref="H179:K179" si="175">lower(C179)</f>
        <v>vrasoundfield</v>
      </c>
      <c r="I179" s="192" t="str">
        <f t="shared" si="175"/>
        <v>hearing</v>
      </c>
      <c r="J179" s="192" t="str">
        <f t="shared" si="175"/>
        <v>vra - sound field</v>
      </c>
      <c r="K179" s="192" t="str">
        <f t="shared" si="175"/>
        <v>vra_sound_field</v>
      </c>
      <c r="L179" s="193"/>
      <c r="M179" s="193"/>
      <c r="N179" s="193"/>
      <c r="O179" s="193"/>
      <c r="P179" s="194" t="s">
        <v>4825</v>
      </c>
      <c r="Q179" s="194" t="s">
        <v>4825</v>
      </c>
    </row>
    <row r="180">
      <c r="A180" s="33"/>
      <c r="B180" s="33" t="s">
        <v>4751</v>
      </c>
      <c r="C180" s="12" t="s">
        <v>4826</v>
      </c>
      <c r="D180" s="12" t="s">
        <v>40</v>
      </c>
      <c r="E180" s="61" t="s">
        <v>4827</v>
      </c>
      <c r="F180" s="121" t="s">
        <v>4828</v>
      </c>
      <c r="G180" s="118"/>
      <c r="H180" s="192" t="str">
        <f t="shared" ref="H180:K180" si="176">lower(C180)</f>
        <v>abr</v>
      </c>
      <c r="I180" s="192" t="str">
        <f t="shared" si="176"/>
        <v>bool</v>
      </c>
      <c r="J180" s="192" t="str">
        <f t="shared" si="176"/>
        <v>abr?</v>
      </c>
      <c r="K180" s="192" t="str">
        <f t="shared" si="176"/>
        <v>abr</v>
      </c>
      <c r="L180" s="193"/>
      <c r="M180" s="193"/>
      <c r="N180" s="193"/>
      <c r="O180" s="193"/>
      <c r="P180" s="194" t="s">
        <v>4829</v>
      </c>
      <c r="Q180" s="194" t="s">
        <v>4829</v>
      </c>
    </row>
    <row r="181">
      <c r="A181" s="33"/>
      <c r="B181" s="33" t="s">
        <v>4751</v>
      </c>
      <c r="C181" s="12" t="s">
        <v>4830</v>
      </c>
      <c r="D181" s="12" t="s">
        <v>4814</v>
      </c>
      <c r="E181" s="61" t="s">
        <v>4831</v>
      </c>
      <c r="F181" s="121" t="s">
        <v>4832</v>
      </c>
      <c r="G181" s="118"/>
      <c r="H181" s="192" t="str">
        <f t="shared" ref="H181:K181" si="177">lower(C181)</f>
        <v>abrright</v>
      </c>
      <c r="I181" s="192" t="str">
        <f t="shared" si="177"/>
        <v>hearing</v>
      </c>
      <c r="J181" s="192" t="str">
        <f t="shared" si="177"/>
        <v>abr - right</v>
      </c>
      <c r="K181" s="192" t="str">
        <f t="shared" si="177"/>
        <v>abr_right</v>
      </c>
      <c r="L181" s="193"/>
      <c r="M181" s="193"/>
      <c r="N181" s="193"/>
      <c r="O181" s="193"/>
      <c r="P181" s="194" t="s">
        <v>4833</v>
      </c>
      <c r="Q181" s="194" t="s">
        <v>4833</v>
      </c>
    </row>
    <row r="182">
      <c r="A182" s="33"/>
      <c r="B182" s="33" t="s">
        <v>4751</v>
      </c>
      <c r="C182" s="12" t="s">
        <v>4834</v>
      </c>
      <c r="D182" s="12" t="s">
        <v>4814</v>
      </c>
      <c r="E182" s="61" t="s">
        <v>4835</v>
      </c>
      <c r="F182" s="121" t="s">
        <v>4836</v>
      </c>
      <c r="G182" s="118"/>
      <c r="H182" s="192" t="str">
        <f t="shared" ref="H182:K182" si="178">lower(C182)</f>
        <v>abrleft</v>
      </c>
      <c r="I182" s="192" t="str">
        <f t="shared" si="178"/>
        <v>hearing</v>
      </c>
      <c r="J182" s="192" t="str">
        <f t="shared" si="178"/>
        <v>abr - left</v>
      </c>
      <c r="K182" s="192" t="str">
        <f t="shared" si="178"/>
        <v>abr_left</v>
      </c>
      <c r="L182" s="193"/>
      <c r="M182" s="193"/>
      <c r="N182" s="193"/>
      <c r="O182" s="193"/>
      <c r="P182" s="194" t="s">
        <v>4837</v>
      </c>
      <c r="Q182" s="194" t="s">
        <v>4837</v>
      </c>
    </row>
    <row r="183">
      <c r="A183" s="33"/>
      <c r="B183" s="33" t="s">
        <v>4751</v>
      </c>
      <c r="C183" s="12" t="s">
        <v>4838</v>
      </c>
      <c r="D183" s="12" t="s">
        <v>40</v>
      </c>
      <c r="E183" s="61" t="s">
        <v>4839</v>
      </c>
      <c r="F183" s="121" t="s">
        <v>4840</v>
      </c>
      <c r="G183" s="118"/>
      <c r="H183" s="192" t="str">
        <f t="shared" ref="H183:K183" si="179">lower(C183)</f>
        <v>hearingtestunknown</v>
      </c>
      <c r="I183" s="192" t="str">
        <f t="shared" si="179"/>
        <v>bool</v>
      </c>
      <c r="J183" s="192" t="str">
        <f t="shared" si="179"/>
        <v>unknown type of hearing test?</v>
      </c>
      <c r="K183" s="192" t="str">
        <f t="shared" si="179"/>
        <v>hearing_test_unknown</v>
      </c>
      <c r="L183" s="193"/>
      <c r="M183" s="193"/>
      <c r="N183" s="193"/>
      <c r="O183" s="193"/>
      <c r="P183" s="194" t="s">
        <v>4841</v>
      </c>
      <c r="Q183" s="194" t="s">
        <v>4841</v>
      </c>
    </row>
    <row r="184">
      <c r="A184" s="33"/>
      <c r="B184" s="33" t="s">
        <v>4751</v>
      </c>
      <c r="C184" s="12" t="s">
        <v>4842</v>
      </c>
      <c r="D184" s="12" t="s">
        <v>4814</v>
      </c>
      <c r="E184" s="61" t="s">
        <v>4843</v>
      </c>
      <c r="F184" s="121" t="s">
        <v>4844</v>
      </c>
      <c r="G184" s="118"/>
      <c r="H184" s="192" t="str">
        <f t="shared" ref="H184:K184" si="180">lower(C184)</f>
        <v>hearingtestunknownright</v>
      </c>
      <c r="I184" s="192" t="str">
        <f t="shared" si="180"/>
        <v>hearing</v>
      </c>
      <c r="J184" s="192" t="str">
        <f t="shared" si="180"/>
        <v>unknown type of hearing test - right</v>
      </c>
      <c r="K184" s="192" t="str">
        <f t="shared" si="180"/>
        <v>hearing_test_unknown_right</v>
      </c>
      <c r="L184" s="193"/>
      <c r="M184" s="193"/>
      <c r="N184" s="193"/>
      <c r="O184" s="193"/>
      <c r="P184" s="194" t="s">
        <v>4845</v>
      </c>
      <c r="Q184" s="194" t="s">
        <v>4845</v>
      </c>
    </row>
    <row r="185">
      <c r="A185" s="33"/>
      <c r="B185" s="33" t="s">
        <v>4751</v>
      </c>
      <c r="C185" s="12" t="s">
        <v>4846</v>
      </c>
      <c r="D185" s="12" t="s">
        <v>4814</v>
      </c>
      <c r="E185" s="61" t="s">
        <v>4847</v>
      </c>
      <c r="F185" s="121" t="s">
        <v>4848</v>
      </c>
      <c r="G185" s="118"/>
      <c r="H185" s="192" t="str">
        <f t="shared" ref="H185:K185" si="181">lower(C185)</f>
        <v>hearingtestunknownleft</v>
      </c>
      <c r="I185" s="192" t="str">
        <f t="shared" si="181"/>
        <v>hearing</v>
      </c>
      <c r="J185" s="192" t="str">
        <f t="shared" si="181"/>
        <v>unknown type of hearing test - left</v>
      </c>
      <c r="K185" s="192" t="str">
        <f t="shared" si="181"/>
        <v>hearing_test_unknown_left</v>
      </c>
      <c r="L185" s="193"/>
      <c r="M185" s="193"/>
      <c r="N185" s="193"/>
      <c r="O185" s="193"/>
      <c r="P185" s="194" t="s">
        <v>4849</v>
      </c>
      <c r="Q185" s="194" t="s">
        <v>4849</v>
      </c>
    </row>
    <row r="186">
      <c r="A186" s="33"/>
      <c r="B186" s="33" t="s">
        <v>4751</v>
      </c>
      <c r="C186" s="12" t="s">
        <v>4850</v>
      </c>
      <c r="D186" s="12" t="s">
        <v>4850</v>
      </c>
      <c r="E186" s="61" t="s">
        <v>4851</v>
      </c>
      <c r="F186" s="121" t="s">
        <v>4852</v>
      </c>
      <c r="G186" s="118"/>
      <c r="H186" s="192" t="str">
        <f t="shared" ref="H186:K186" si="182">lower(C186)</f>
        <v>hearingimpaired</v>
      </c>
      <c r="I186" s="192" t="str">
        <f t="shared" si="182"/>
        <v>hearingimpaired</v>
      </c>
      <c r="J186" s="192" t="str">
        <f t="shared" si="182"/>
        <v>hearing impaired?</v>
      </c>
      <c r="K186" s="192" t="str">
        <f t="shared" si="182"/>
        <v>hearing_impaired</v>
      </c>
      <c r="L186" s="193"/>
      <c r="M186" s="193"/>
      <c r="N186" s="194" t="s">
        <v>8466</v>
      </c>
      <c r="O186" s="193"/>
      <c r="P186" s="194" t="s">
        <v>4853</v>
      </c>
      <c r="Q186" s="194" t="s">
        <v>4853</v>
      </c>
    </row>
    <row r="187">
      <c r="A187" s="33"/>
      <c r="B187" s="33" t="s">
        <v>4751</v>
      </c>
      <c r="C187" s="12" t="s">
        <v>4854</v>
      </c>
      <c r="D187" s="12" t="s">
        <v>4855</v>
      </c>
      <c r="E187" s="61" t="s">
        <v>4856</v>
      </c>
      <c r="F187" s="121" t="s">
        <v>4857</v>
      </c>
      <c r="G187" s="118"/>
      <c r="H187" s="192" t="str">
        <f t="shared" ref="H187:K187" si="183">lower(C187)</f>
        <v>hearingaidrequirement</v>
      </c>
      <c r="I187" s="192" t="str">
        <f t="shared" si="183"/>
        <v>hearingaid</v>
      </c>
      <c r="J187" s="192" t="str">
        <f t="shared" si="183"/>
        <v>hearing aid requirement</v>
      </c>
      <c r="K187" s="192" t="str">
        <f t="shared" si="183"/>
        <v>hearing_aid_requirement</v>
      </c>
      <c r="L187" s="193"/>
      <c r="M187" s="193"/>
      <c r="N187" s="193"/>
      <c r="O187" s="193"/>
      <c r="P187" s="194" t="s">
        <v>4858</v>
      </c>
      <c r="Q187" s="194" t="s">
        <v>4858</v>
      </c>
    </row>
    <row r="188">
      <c r="A188" s="33"/>
      <c r="B188" s="33" t="s">
        <v>4751</v>
      </c>
      <c r="C188" s="12" t="s">
        <v>4859</v>
      </c>
      <c r="D188" s="12" t="s">
        <v>4855</v>
      </c>
      <c r="E188" s="61" t="s">
        <v>4860</v>
      </c>
      <c r="F188" s="121" t="s">
        <v>4861</v>
      </c>
      <c r="G188" s="118"/>
      <c r="H188" s="192" t="str">
        <f t="shared" ref="H188:K188" si="184">lower(C188)</f>
        <v>hearingimplant</v>
      </c>
      <c r="I188" s="192" t="str">
        <f t="shared" si="184"/>
        <v>hearingaid</v>
      </c>
      <c r="J188" s="192" t="str">
        <f t="shared" si="184"/>
        <v>hearing implant?</v>
      </c>
      <c r="K188" s="192" t="str">
        <f t="shared" si="184"/>
        <v>hearing_implant</v>
      </c>
      <c r="L188" s="194" t="s">
        <v>8467</v>
      </c>
      <c r="M188" s="193"/>
      <c r="N188" s="193"/>
      <c r="O188" s="193"/>
      <c r="P188" s="193"/>
      <c r="Q188" s="194" t="s">
        <v>4862</v>
      </c>
    </row>
    <row r="189">
      <c r="A189" s="33"/>
      <c r="B189" s="33"/>
      <c r="C189" s="118"/>
      <c r="D189" s="118"/>
      <c r="E189" s="61"/>
      <c r="F189" s="121" t="s">
        <v>851</v>
      </c>
      <c r="G189" s="118"/>
      <c r="H189" s="192" t="str">
        <f t="shared" ref="H189:K189" si="185">lower(C189)</f>
        <v/>
      </c>
      <c r="I189" s="192" t="str">
        <f t="shared" si="185"/>
        <v/>
      </c>
      <c r="J189" s="192" t="str">
        <f t="shared" si="185"/>
        <v/>
      </c>
      <c r="K189" s="192" t="str">
        <f t="shared" si="185"/>
        <v/>
      </c>
      <c r="L189" s="193"/>
      <c r="M189" s="193"/>
      <c r="N189" s="193"/>
      <c r="O189" s="193"/>
      <c r="P189" s="193"/>
      <c r="Q189" s="193"/>
    </row>
    <row r="190">
      <c r="A190" s="33" t="s">
        <v>4205</v>
      </c>
      <c r="B190" s="33" t="s">
        <v>4751</v>
      </c>
      <c r="C190" s="12" t="s">
        <v>4863</v>
      </c>
      <c r="D190" s="12" t="s">
        <v>4864</v>
      </c>
      <c r="E190" s="61" t="s">
        <v>4863</v>
      </c>
      <c r="F190" s="121" t="s">
        <v>4863</v>
      </c>
      <c r="G190" s="118"/>
      <c r="H190" s="192" t="str">
        <f t="shared" ref="H190:K190" si="186">lower(C190)</f>
        <v>swallowing</v>
      </c>
      <c r="I190" s="192" t="str">
        <f t="shared" si="186"/>
        <v>swallow</v>
      </c>
      <c r="J190" s="192" t="str">
        <f t="shared" si="186"/>
        <v>swallowing</v>
      </c>
      <c r="K190" s="192" t="str">
        <f t="shared" si="186"/>
        <v>swallowing</v>
      </c>
      <c r="L190" s="193"/>
      <c r="M190" s="193"/>
      <c r="N190" s="193"/>
      <c r="O190" s="193"/>
      <c r="P190" s="194" t="s">
        <v>4865</v>
      </c>
      <c r="Q190" s="194" t="s">
        <v>4865</v>
      </c>
    </row>
    <row r="191">
      <c r="A191" s="33"/>
      <c r="B191" s="33" t="s">
        <v>4751</v>
      </c>
      <c r="C191" s="12" t="s">
        <v>4866</v>
      </c>
      <c r="D191" s="33" t="s">
        <v>40</v>
      </c>
      <c r="E191" s="61" t="s">
        <v>4866</v>
      </c>
      <c r="F191" s="121" t="s">
        <v>4866</v>
      </c>
      <c r="G191" s="118"/>
      <c r="H191" s="192" t="str">
        <f t="shared" ref="H191:K191" si="187">lower(C191)</f>
        <v>dysphagia</v>
      </c>
      <c r="I191" s="192" t="str">
        <f t="shared" si="187"/>
        <v>bool</v>
      </c>
      <c r="J191" s="192" t="str">
        <f t="shared" si="187"/>
        <v>dysphagia</v>
      </c>
      <c r="K191" s="192" t="str">
        <f t="shared" si="187"/>
        <v>dysphagia</v>
      </c>
      <c r="L191" s="194" t="s">
        <v>8468</v>
      </c>
      <c r="M191" s="193"/>
      <c r="N191" s="193"/>
      <c r="O191" s="193"/>
      <c r="P191" s="194" t="s">
        <v>4867</v>
      </c>
      <c r="Q191" s="194" t="s">
        <v>4867</v>
      </c>
    </row>
    <row r="192">
      <c r="A192" s="33"/>
      <c r="B192" s="33" t="s">
        <v>4751</v>
      </c>
      <c r="C192" s="12" t="s">
        <v>4868</v>
      </c>
      <c r="D192" s="33" t="s">
        <v>40</v>
      </c>
      <c r="E192" s="61" t="s">
        <v>4869</v>
      </c>
      <c r="F192" s="121" t="s">
        <v>4868</v>
      </c>
      <c r="G192" s="118"/>
      <c r="H192" s="192" t="str">
        <f t="shared" ref="H192:K192" si="188">lower(C192)</f>
        <v>aspiration</v>
      </c>
      <c r="I192" s="192" t="str">
        <f t="shared" si="188"/>
        <v>bool</v>
      </c>
      <c r="J192" s="192" t="str">
        <f t="shared" si="188"/>
        <v>documented aspiration</v>
      </c>
      <c r="K192" s="192" t="str">
        <f t="shared" si="188"/>
        <v>aspiration</v>
      </c>
      <c r="L192" s="193"/>
      <c r="M192" s="193"/>
      <c r="N192" s="193"/>
      <c r="O192" s="193"/>
      <c r="P192" s="194" t="s">
        <v>4870</v>
      </c>
      <c r="Q192" s="194" t="s">
        <v>4870</v>
      </c>
    </row>
    <row r="193">
      <c r="A193" s="33"/>
      <c r="B193" s="33" t="s">
        <v>4751</v>
      </c>
      <c r="C193" s="12" t="s">
        <v>4871</v>
      </c>
      <c r="D193" s="33" t="s">
        <v>40</v>
      </c>
      <c r="E193" s="61" t="s">
        <v>4872</v>
      </c>
      <c r="F193" s="121" t="s">
        <v>4873</v>
      </c>
      <c r="G193" s="118"/>
      <c r="H193" s="192" t="str">
        <f t="shared" ref="H193:K193" si="189">lower(C193)</f>
        <v>abnormalvoice</v>
      </c>
      <c r="I193" s="192" t="str">
        <f t="shared" si="189"/>
        <v>bool</v>
      </c>
      <c r="J193" s="192" t="str">
        <f t="shared" si="189"/>
        <v>abnormal voice</v>
      </c>
      <c r="K193" s="192" t="str">
        <f t="shared" si="189"/>
        <v>abnormal_voice</v>
      </c>
      <c r="L193" s="193"/>
      <c r="M193" s="193"/>
      <c r="N193" s="193"/>
      <c r="O193" s="193"/>
      <c r="P193" s="345" t="s">
        <v>4874</v>
      </c>
      <c r="Q193" s="345" t="s">
        <v>4874</v>
      </c>
    </row>
    <row r="194">
      <c r="A194" s="33"/>
      <c r="B194" s="33" t="s">
        <v>4751</v>
      </c>
      <c r="C194" s="12" t="s">
        <v>4875</v>
      </c>
      <c r="D194" s="33" t="s">
        <v>40</v>
      </c>
      <c r="E194" s="61" t="s">
        <v>4875</v>
      </c>
      <c r="F194" s="121" t="s">
        <v>4875</v>
      </c>
      <c r="G194" s="118"/>
      <c r="H194" s="192" t="str">
        <f t="shared" ref="H194:K194" si="190">lower(C194)</f>
        <v>drooling</v>
      </c>
      <c r="I194" s="192" t="str">
        <f t="shared" si="190"/>
        <v>bool</v>
      </c>
      <c r="J194" s="192" t="str">
        <f t="shared" si="190"/>
        <v>drooling</v>
      </c>
      <c r="K194" s="192" t="str">
        <f t="shared" si="190"/>
        <v>drooling</v>
      </c>
      <c r="L194" s="193"/>
      <c r="M194" s="193"/>
      <c r="N194" s="193"/>
      <c r="O194" s="193"/>
      <c r="P194" s="345" t="s">
        <v>4876</v>
      </c>
      <c r="Q194" s="345" t="s">
        <v>4876</v>
      </c>
    </row>
    <row r="195">
      <c r="A195" s="33"/>
      <c r="B195" s="33" t="s">
        <v>4751</v>
      </c>
      <c r="C195" s="12" t="s">
        <v>4877</v>
      </c>
      <c r="D195" s="33" t="s">
        <v>40</v>
      </c>
      <c r="E195" s="61" t="s">
        <v>4878</v>
      </c>
      <c r="F195" s="121" t="s">
        <v>4879</v>
      </c>
      <c r="G195" s="118"/>
      <c r="H195" s="192" t="str">
        <f t="shared" ref="H195:K195" si="191">lower(C195)</f>
        <v>nothingbymouth</v>
      </c>
      <c r="I195" s="192" t="str">
        <f t="shared" si="191"/>
        <v>bool</v>
      </c>
      <c r="J195" s="192" t="str">
        <f t="shared" si="191"/>
        <v>nothing by mouth</v>
      </c>
      <c r="K195" s="192" t="str">
        <f t="shared" si="191"/>
        <v>nothing_by_mouth</v>
      </c>
      <c r="L195" s="193"/>
      <c r="M195" s="193"/>
      <c r="N195" s="193"/>
      <c r="O195" s="193"/>
      <c r="P195" s="345" t="s">
        <v>4880</v>
      </c>
      <c r="Q195" s="345" t="s">
        <v>4880</v>
      </c>
    </row>
    <row r="196">
      <c r="A196" s="33"/>
      <c r="B196" s="33"/>
      <c r="C196" s="118"/>
      <c r="D196" s="118"/>
      <c r="F196" s="121" t="s">
        <v>851</v>
      </c>
      <c r="G196" s="118"/>
      <c r="H196" s="192" t="str">
        <f t="shared" ref="H196:K196" si="192">lower(C196)</f>
        <v/>
      </c>
      <c r="I196" s="192" t="str">
        <f t="shared" si="192"/>
        <v/>
      </c>
      <c r="J196" s="192" t="str">
        <f t="shared" si="192"/>
        <v/>
      </c>
      <c r="K196" s="192" t="str">
        <f t="shared" si="192"/>
        <v/>
      </c>
      <c r="L196" s="193"/>
      <c r="M196" s="193"/>
      <c r="N196" s="193"/>
      <c r="O196" s="193"/>
      <c r="P196" s="193"/>
      <c r="Q196" s="193"/>
    </row>
    <row r="197">
      <c r="A197" s="33" t="s">
        <v>4205</v>
      </c>
      <c r="B197" s="33" t="s">
        <v>4751</v>
      </c>
      <c r="C197" s="12" t="s">
        <v>4881</v>
      </c>
      <c r="D197" s="12" t="s">
        <v>40</v>
      </c>
      <c r="E197" s="61" t="s">
        <v>4882</v>
      </c>
      <c r="F197" s="121" t="s">
        <v>4883</v>
      </c>
      <c r="G197" s="118"/>
      <c r="H197" s="192" t="str">
        <f t="shared" ref="H197:K197" si="193">lower(C197)</f>
        <v>observedabnormalmovement</v>
      </c>
      <c r="I197" s="192" t="str">
        <f t="shared" si="193"/>
        <v>bool</v>
      </c>
      <c r="J197" s="192" t="str">
        <f t="shared" si="193"/>
        <v>observed abnormal movements</v>
      </c>
      <c r="K197" s="192" t="str">
        <f t="shared" si="193"/>
        <v>observed_abnormal_movement</v>
      </c>
      <c r="L197" s="193"/>
      <c r="M197" s="193"/>
      <c r="N197" s="193"/>
      <c r="O197" s="193"/>
      <c r="P197" s="194" t="s">
        <v>4884</v>
      </c>
      <c r="Q197" s="194" t="s">
        <v>4884</v>
      </c>
    </row>
    <row r="198">
      <c r="A198" s="33"/>
      <c r="B198" s="33" t="s">
        <v>4751</v>
      </c>
      <c r="C198" s="12" t="s">
        <v>4885</v>
      </c>
      <c r="D198" s="12" t="s">
        <v>40</v>
      </c>
      <c r="E198" s="61" t="s">
        <v>4886</v>
      </c>
      <c r="F198" s="121" t="s">
        <v>4887</v>
      </c>
      <c r="G198" s="118"/>
      <c r="H198" s="192" t="str">
        <f t="shared" ref="H198:K198" si="194">lower(C198)</f>
        <v>observedabnormalmovementshortjerky</v>
      </c>
      <c r="I198" s="192" t="str">
        <f t="shared" si="194"/>
        <v>bool</v>
      </c>
      <c r="J198" s="192" t="str">
        <f t="shared" si="194"/>
        <v>observed abnormal movements - short - jerky</v>
      </c>
      <c r="K198" s="192" t="str">
        <f t="shared" si="194"/>
        <v>observed_abnormal_movement_short_jerky</v>
      </c>
      <c r="L198" s="61" t="s">
        <v>8469</v>
      </c>
      <c r="M198" s="193"/>
      <c r="N198" s="193"/>
      <c r="O198" s="193"/>
      <c r="P198" s="194" t="s">
        <v>4888</v>
      </c>
      <c r="Q198" s="194" t="s">
        <v>4888</v>
      </c>
    </row>
    <row r="199">
      <c r="A199" s="33"/>
      <c r="B199" s="33" t="s">
        <v>4751</v>
      </c>
      <c r="C199" s="12" t="s">
        <v>4889</v>
      </c>
      <c r="D199" s="12" t="s">
        <v>40</v>
      </c>
      <c r="E199" s="61" t="s">
        <v>4890</v>
      </c>
      <c r="F199" s="121" t="s">
        <v>4891</v>
      </c>
      <c r="G199" s="118"/>
      <c r="H199" s="192" t="str">
        <f t="shared" ref="H199:K199" si="195">lower(C199)</f>
        <v>observedabnormalmovementslowwrithing</v>
      </c>
      <c r="I199" s="192" t="str">
        <f t="shared" si="195"/>
        <v>bool</v>
      </c>
      <c r="J199" s="192" t="str">
        <f t="shared" si="195"/>
        <v>observed abnormal movements - slow writhing</v>
      </c>
      <c r="K199" s="192" t="str">
        <f t="shared" si="195"/>
        <v>observed_abnormal_movement_slow_writhing</v>
      </c>
      <c r="L199" s="193"/>
      <c r="M199" s="193"/>
      <c r="N199" s="193"/>
      <c r="O199" s="193"/>
      <c r="P199" s="194" t="s">
        <v>4892</v>
      </c>
      <c r="Q199" s="194" t="s">
        <v>4892</v>
      </c>
    </row>
    <row r="200">
      <c r="A200" s="33"/>
      <c r="B200" s="33" t="s">
        <v>4751</v>
      </c>
      <c r="C200" s="12" t="s">
        <v>4893</v>
      </c>
      <c r="D200" s="12" t="s">
        <v>40</v>
      </c>
      <c r="E200" s="61" t="s">
        <v>4894</v>
      </c>
      <c r="F200" s="121" t="s">
        <v>4895</v>
      </c>
      <c r="G200" s="118"/>
      <c r="H200" s="192" t="str">
        <f t="shared" ref="H200:K200" si="196">lower(C200)</f>
        <v>observedabnormalmovementtremor</v>
      </c>
      <c r="I200" s="192" t="str">
        <f t="shared" si="196"/>
        <v>bool</v>
      </c>
      <c r="J200" s="192" t="str">
        <f t="shared" si="196"/>
        <v>observed abnormal movements - tremor</v>
      </c>
      <c r="K200" s="192" t="str">
        <f t="shared" si="196"/>
        <v>observed_abnormal_movement_tremor</v>
      </c>
      <c r="L200" s="194" t="s">
        <v>8470</v>
      </c>
      <c r="M200" s="193"/>
      <c r="N200" s="193"/>
      <c r="O200" s="193"/>
      <c r="P200" s="194" t="s">
        <v>4896</v>
      </c>
      <c r="Q200" s="194" t="s">
        <v>4896</v>
      </c>
    </row>
    <row r="201">
      <c r="A201" s="33"/>
      <c r="B201" s="33" t="s">
        <v>4751</v>
      </c>
      <c r="C201" s="12" t="s">
        <v>4897</v>
      </c>
      <c r="D201" s="12" t="s">
        <v>4898</v>
      </c>
      <c r="E201" s="61" t="s">
        <v>4899</v>
      </c>
      <c r="F201" s="121" t="s">
        <v>4900</v>
      </c>
      <c r="G201" s="118"/>
      <c r="H201" s="192" t="str">
        <f t="shared" ref="H201:K201" si="197">lower(C201)</f>
        <v>passivemuscletonenecktrunk</v>
      </c>
      <c r="I201" s="192" t="str">
        <f t="shared" si="197"/>
        <v>passivemuscletone</v>
      </c>
      <c r="J201" s="192" t="str">
        <f t="shared" si="197"/>
        <v>passive muscle tone - neck and trunk</v>
      </c>
      <c r="K201" s="192" t="str">
        <f t="shared" si="197"/>
        <v>passive_muscle_tone_neck_trunk</v>
      </c>
      <c r="L201" s="193"/>
      <c r="M201" s="193"/>
      <c r="N201" s="193"/>
      <c r="O201" s="193"/>
      <c r="P201" s="194" t="s">
        <v>4901</v>
      </c>
      <c r="Q201" s="194" t="s">
        <v>4901</v>
      </c>
    </row>
    <row r="202">
      <c r="A202" s="33"/>
      <c r="B202" s="33" t="s">
        <v>4751</v>
      </c>
      <c r="C202" s="12" t="s">
        <v>4902</v>
      </c>
      <c r="D202" s="12" t="s">
        <v>4898</v>
      </c>
      <c r="E202" s="61" t="s">
        <v>4903</v>
      </c>
      <c r="F202" s="121" t="s">
        <v>4904</v>
      </c>
      <c r="G202" s="118"/>
      <c r="H202" s="192" t="str">
        <f t="shared" ref="H202:K202" si="198">lower(C202)</f>
        <v>upperextremitymuscletoneright</v>
      </c>
      <c r="I202" s="192" t="str">
        <f t="shared" si="198"/>
        <v>passivemuscletone</v>
      </c>
      <c r="J202" s="192" t="str">
        <f t="shared" si="198"/>
        <v>upper extremity muscle tone - right</v>
      </c>
      <c r="K202" s="192" t="str">
        <f t="shared" si="198"/>
        <v>upper_extremity_muscle_tone_right</v>
      </c>
      <c r="L202" s="194" t="s">
        <v>8471</v>
      </c>
      <c r="M202" s="193"/>
      <c r="N202" s="193"/>
      <c r="O202" s="193"/>
      <c r="P202" s="194" t="s">
        <v>4905</v>
      </c>
      <c r="Q202" s="194" t="s">
        <v>4905</v>
      </c>
    </row>
    <row r="203">
      <c r="A203" s="33"/>
      <c r="B203" s="33" t="s">
        <v>4751</v>
      </c>
      <c r="C203" s="12" t="s">
        <v>4906</v>
      </c>
      <c r="D203" s="12" t="s">
        <v>4898</v>
      </c>
      <c r="E203" s="61" t="s">
        <v>4907</v>
      </c>
      <c r="F203" s="121" t="s">
        <v>4908</v>
      </c>
      <c r="G203" s="118"/>
      <c r="H203" s="192" t="str">
        <f t="shared" ref="H203:K203" si="199">lower(C203)</f>
        <v>upperextremitymuscletoneleft</v>
      </c>
      <c r="I203" s="192" t="str">
        <f t="shared" si="199"/>
        <v>passivemuscletone</v>
      </c>
      <c r="J203" s="192" t="str">
        <f t="shared" si="199"/>
        <v>upper extremity muscle tone - left</v>
      </c>
      <c r="K203" s="192" t="str">
        <f t="shared" si="199"/>
        <v>upper_extremity_muscle_tone_left</v>
      </c>
      <c r="L203" s="194" t="s">
        <v>8471</v>
      </c>
      <c r="M203" s="193"/>
      <c r="N203" s="193"/>
      <c r="O203" s="193"/>
      <c r="P203" s="194" t="s">
        <v>4909</v>
      </c>
      <c r="Q203" s="194" t="s">
        <v>4909</v>
      </c>
    </row>
    <row r="204">
      <c r="A204" s="33"/>
      <c r="B204" s="33" t="s">
        <v>4751</v>
      </c>
      <c r="C204" s="12" t="s">
        <v>4910</v>
      </c>
      <c r="D204" s="12" t="s">
        <v>4898</v>
      </c>
      <c r="E204" s="61" t="s">
        <v>4911</v>
      </c>
      <c r="F204" s="121" t="s">
        <v>4912</v>
      </c>
      <c r="G204" s="118"/>
      <c r="H204" s="192" t="str">
        <f t="shared" ref="H204:K204" si="200">lower(C204)</f>
        <v>lowerextremitymuscletonehipkneeright</v>
      </c>
      <c r="I204" s="192" t="str">
        <f t="shared" si="200"/>
        <v>passivemuscletone</v>
      </c>
      <c r="J204" s="192" t="str">
        <f t="shared" si="200"/>
        <v>lower extremity muscle tone - hip and knees - right</v>
      </c>
      <c r="K204" s="192" t="str">
        <f t="shared" si="200"/>
        <v>lower_extremity_muscle_tone_hip_knee_right</v>
      </c>
      <c r="L204" s="194" t="s">
        <v>8472</v>
      </c>
      <c r="M204" s="193"/>
      <c r="N204" s="193"/>
      <c r="O204" s="193"/>
      <c r="P204" s="194" t="s">
        <v>4913</v>
      </c>
      <c r="Q204" s="194" t="s">
        <v>4913</v>
      </c>
    </row>
    <row r="205">
      <c r="A205" s="33"/>
      <c r="B205" s="33" t="s">
        <v>4751</v>
      </c>
      <c r="C205" s="12" t="s">
        <v>4914</v>
      </c>
      <c r="D205" s="12" t="s">
        <v>4898</v>
      </c>
      <c r="E205" s="61" t="s">
        <v>4915</v>
      </c>
      <c r="F205" s="121" t="s">
        <v>4916</v>
      </c>
      <c r="G205" s="118"/>
      <c r="H205" s="192" t="str">
        <f t="shared" ref="H205:K205" si="201">lower(C205)</f>
        <v>lowerextremitymuscletonehipkneeleft</v>
      </c>
      <c r="I205" s="192" t="str">
        <f t="shared" si="201"/>
        <v>passivemuscletone</v>
      </c>
      <c r="J205" s="192" t="str">
        <f t="shared" si="201"/>
        <v>lower extremity muscle tone - hip and knees - left</v>
      </c>
      <c r="K205" s="192" t="str">
        <f t="shared" si="201"/>
        <v>lower_extremity_muscle_tone_hip_knee_left</v>
      </c>
      <c r="L205" s="194" t="s">
        <v>8472</v>
      </c>
      <c r="M205" s="193"/>
      <c r="N205" s="193"/>
      <c r="O205" s="193"/>
      <c r="P205" s="194" t="s">
        <v>4917</v>
      </c>
      <c r="Q205" s="194" t="s">
        <v>4917</v>
      </c>
    </row>
    <row r="206">
      <c r="A206" s="33"/>
      <c r="B206" s="33" t="s">
        <v>4751</v>
      </c>
      <c r="C206" s="12" t="s">
        <v>4918</v>
      </c>
      <c r="D206" s="12" t="s">
        <v>4898</v>
      </c>
      <c r="E206" s="61" t="s">
        <v>4919</v>
      </c>
      <c r="F206" s="121" t="s">
        <v>4920</v>
      </c>
      <c r="G206" s="118"/>
      <c r="H206" s="192" t="str">
        <f t="shared" ref="H206:K206" si="202">lower(C206)</f>
        <v>lowerextremitymuscletoneankleright</v>
      </c>
      <c r="I206" s="192" t="str">
        <f t="shared" si="202"/>
        <v>passivemuscletone</v>
      </c>
      <c r="J206" s="192" t="str">
        <f t="shared" si="202"/>
        <v>lower extremity muscle tone - ankles - right</v>
      </c>
      <c r="K206" s="192" t="str">
        <f t="shared" si="202"/>
        <v>lower_extremity_muscle_tone_ankle_right</v>
      </c>
      <c r="L206" s="194" t="s">
        <v>8472</v>
      </c>
      <c r="M206" s="193"/>
      <c r="N206" s="193"/>
      <c r="O206" s="193"/>
      <c r="P206" s="194" t="s">
        <v>4921</v>
      </c>
      <c r="Q206" s="194" t="s">
        <v>4921</v>
      </c>
    </row>
    <row r="207">
      <c r="A207" s="33"/>
      <c r="B207" s="33" t="s">
        <v>4751</v>
      </c>
      <c r="C207" s="12" t="s">
        <v>4922</v>
      </c>
      <c r="D207" s="12" t="s">
        <v>4898</v>
      </c>
      <c r="E207" s="61" t="s">
        <v>4923</v>
      </c>
      <c r="F207" s="121" t="s">
        <v>4924</v>
      </c>
      <c r="G207" s="118"/>
      <c r="H207" s="192" t="str">
        <f t="shared" ref="H207:K207" si="203">lower(C207)</f>
        <v>lowerextremitymuscletoneankleleft</v>
      </c>
      <c r="I207" s="192" t="str">
        <f t="shared" si="203"/>
        <v>passivemuscletone</v>
      </c>
      <c r="J207" s="192" t="str">
        <f t="shared" si="203"/>
        <v>lower extremity muscle tone - ankles - left</v>
      </c>
      <c r="K207" s="192" t="str">
        <f t="shared" si="203"/>
        <v>lower_extremity_muscle_tone_ankle_left</v>
      </c>
      <c r="L207" s="194" t="s">
        <v>8472</v>
      </c>
      <c r="M207" s="193"/>
      <c r="N207" s="193"/>
      <c r="O207" s="193"/>
      <c r="P207" s="194" t="s">
        <v>4925</v>
      </c>
      <c r="Q207" s="194" t="s">
        <v>4925</v>
      </c>
    </row>
    <row r="208">
      <c r="A208" s="33"/>
      <c r="B208" s="33" t="s">
        <v>4751</v>
      </c>
      <c r="C208" s="12" t="s">
        <v>4926</v>
      </c>
      <c r="D208" s="12" t="s">
        <v>40</v>
      </c>
      <c r="E208" s="61" t="s">
        <v>4927</v>
      </c>
      <c r="F208" s="121" t="s">
        <v>4928</v>
      </c>
      <c r="G208" s="118"/>
      <c r="H208" s="192" t="str">
        <f t="shared" ref="H208:K208" si="204">lower(C208)</f>
        <v>scissoringlegs</v>
      </c>
      <c r="I208" s="192" t="str">
        <f t="shared" si="204"/>
        <v>bool</v>
      </c>
      <c r="J208" s="192" t="str">
        <f t="shared" si="204"/>
        <v>scissoring of the legs</v>
      </c>
      <c r="K208" s="192" t="str">
        <f t="shared" si="204"/>
        <v>scissoring_legs</v>
      </c>
      <c r="L208" s="193"/>
      <c r="M208" s="193"/>
      <c r="N208" s="193"/>
      <c r="O208" s="193"/>
      <c r="P208" s="194" t="s">
        <v>4929</v>
      </c>
      <c r="Q208" s="194" t="s">
        <v>4929</v>
      </c>
    </row>
    <row r="209">
      <c r="A209" s="33"/>
      <c r="B209" s="33" t="s">
        <v>4751</v>
      </c>
      <c r="C209" s="12" t="s">
        <v>4930</v>
      </c>
      <c r="D209" s="12" t="s">
        <v>4930</v>
      </c>
      <c r="E209" s="61" t="s">
        <v>4931</v>
      </c>
      <c r="F209" s="121" t="s">
        <v>4932</v>
      </c>
      <c r="G209" s="118"/>
      <c r="H209" s="192" t="str">
        <f t="shared" ref="H209:K209" si="205">lower(C209)</f>
        <v>handpreference</v>
      </c>
      <c r="I209" s="192" t="str">
        <f t="shared" si="205"/>
        <v>handpreference</v>
      </c>
      <c r="J209" s="192" t="str">
        <f t="shared" si="205"/>
        <v>hand preference</v>
      </c>
      <c r="K209" s="192" t="str">
        <f t="shared" si="205"/>
        <v>hand_preference</v>
      </c>
      <c r="L209" s="61" t="s">
        <v>8473</v>
      </c>
      <c r="M209" s="193"/>
      <c r="N209" s="193"/>
      <c r="O209" s="193"/>
      <c r="P209" s="194" t="s">
        <v>4933</v>
      </c>
      <c r="Q209" s="194" t="s">
        <v>4933</v>
      </c>
    </row>
    <row r="210">
      <c r="A210" s="33"/>
      <c r="B210" s="33" t="s">
        <v>4751</v>
      </c>
      <c r="C210" s="12" t="s">
        <v>4934</v>
      </c>
      <c r="D210" s="12" t="s">
        <v>4934</v>
      </c>
      <c r="E210" s="61" t="s">
        <v>4935</v>
      </c>
      <c r="F210" s="121" t="s">
        <v>4936</v>
      </c>
      <c r="G210" s="118"/>
      <c r="H210" s="192" t="str">
        <f t="shared" ref="H210:K210" si="206">lower(C210)</f>
        <v>protectivereaction</v>
      </c>
      <c r="I210" s="192" t="str">
        <f t="shared" si="206"/>
        <v>protectivereaction</v>
      </c>
      <c r="J210" s="192" t="str">
        <f t="shared" si="206"/>
        <v>protective reactions</v>
      </c>
      <c r="K210" s="192" t="str">
        <f t="shared" si="206"/>
        <v>protective_reaction</v>
      </c>
      <c r="L210" s="193"/>
      <c r="M210" s="193"/>
      <c r="N210" s="193"/>
      <c r="O210" s="193"/>
      <c r="P210" s="194" t="s">
        <v>4937</v>
      </c>
      <c r="Q210" s="194" t="s">
        <v>4937</v>
      </c>
    </row>
    <row r="211">
      <c r="A211" s="33"/>
      <c r="B211" s="33" t="s">
        <v>4751</v>
      </c>
      <c r="C211" s="12" t="s">
        <v>4938</v>
      </c>
      <c r="D211" s="12" t="s">
        <v>4939</v>
      </c>
      <c r="E211" s="61" t="s">
        <v>4940</v>
      </c>
      <c r="F211" s="121" t="s">
        <v>4941</v>
      </c>
      <c r="G211" s="118"/>
      <c r="H211" s="192" t="str">
        <f t="shared" ref="H211:K211" si="207">lower(C211)</f>
        <v>limbmovementupperlimb</v>
      </c>
      <c r="I211" s="192" t="str">
        <f t="shared" si="207"/>
        <v>limbmovement</v>
      </c>
      <c r="J211" s="192" t="str">
        <f t="shared" si="207"/>
        <v>limb movements - upper limbs</v>
      </c>
      <c r="K211" s="192" t="str">
        <f t="shared" si="207"/>
        <v>limb_movement_upper_limb</v>
      </c>
      <c r="L211" s="193"/>
      <c r="M211" s="193"/>
      <c r="N211" s="193"/>
      <c r="O211" s="193"/>
      <c r="P211" s="194" t="s">
        <v>4942</v>
      </c>
      <c r="Q211" s="194" t="s">
        <v>4942</v>
      </c>
    </row>
    <row r="212">
      <c r="A212" s="33"/>
      <c r="B212" s="33" t="s">
        <v>4751</v>
      </c>
      <c r="C212" s="12" t="s">
        <v>4943</v>
      </c>
      <c r="D212" s="12" t="s">
        <v>4939</v>
      </c>
      <c r="E212" s="61" t="s">
        <v>4944</v>
      </c>
      <c r="F212" s="121" t="s">
        <v>4945</v>
      </c>
      <c r="G212" s="118"/>
      <c r="H212" s="192" t="str">
        <f t="shared" ref="H212:K212" si="208">lower(C212)</f>
        <v>limbmovementlowerlimb</v>
      </c>
      <c r="I212" s="192" t="str">
        <f t="shared" si="208"/>
        <v>limbmovement</v>
      </c>
      <c r="J212" s="192" t="str">
        <f t="shared" si="208"/>
        <v>limb movements - lower limbs</v>
      </c>
      <c r="K212" s="192" t="str">
        <f t="shared" si="208"/>
        <v>limb_movement_lower_limb</v>
      </c>
      <c r="L212" s="193"/>
      <c r="M212" s="193"/>
      <c r="N212" s="193"/>
      <c r="O212" s="193"/>
      <c r="P212" s="194" t="s">
        <v>4946</v>
      </c>
      <c r="Q212" s="194" t="s">
        <v>4946</v>
      </c>
    </row>
    <row r="213">
      <c r="A213" s="33"/>
      <c r="B213" s="33" t="s">
        <v>4751</v>
      </c>
      <c r="C213" s="12" t="s">
        <v>4947</v>
      </c>
      <c r="D213" s="12" t="s">
        <v>4948</v>
      </c>
      <c r="E213" s="61" t="s">
        <v>4949</v>
      </c>
      <c r="F213" s="121" t="s">
        <v>4950</v>
      </c>
      <c r="G213" s="118"/>
      <c r="H213" s="192" t="str">
        <f t="shared" ref="H213:K213" si="209">lower(C213)</f>
        <v>deeptendonreflexupperextremityright</v>
      </c>
      <c r="I213" s="192" t="str">
        <f t="shared" si="209"/>
        <v>deeptendonreflex</v>
      </c>
      <c r="J213" s="192" t="str">
        <f t="shared" si="209"/>
        <v>deep tendon reflexes - upper extremities - right</v>
      </c>
      <c r="K213" s="192" t="str">
        <f t="shared" si="209"/>
        <v>deep_tendon_reflex_upper_extremity_right</v>
      </c>
      <c r="L213" s="193"/>
      <c r="M213" s="193"/>
      <c r="N213" s="193"/>
      <c r="O213" s="193"/>
      <c r="P213" s="194" t="s">
        <v>4951</v>
      </c>
      <c r="Q213" s="194" t="s">
        <v>4951</v>
      </c>
    </row>
    <row r="214">
      <c r="A214" s="33"/>
      <c r="B214" s="33" t="s">
        <v>4751</v>
      </c>
      <c r="C214" s="12" t="s">
        <v>4952</v>
      </c>
      <c r="D214" s="12" t="s">
        <v>4948</v>
      </c>
      <c r="E214" s="61" t="s">
        <v>4953</v>
      </c>
      <c r="F214" s="121" t="s">
        <v>4954</v>
      </c>
      <c r="G214" s="118"/>
      <c r="H214" s="192" t="str">
        <f t="shared" ref="H214:K214" si="210">lower(C214)</f>
        <v>deeptendonreflexupperextremityleft</v>
      </c>
      <c r="I214" s="192" t="str">
        <f t="shared" si="210"/>
        <v>deeptendonreflex</v>
      </c>
      <c r="J214" s="192" t="str">
        <f t="shared" si="210"/>
        <v>deep tendon reflexes - upper extremities - left</v>
      </c>
      <c r="K214" s="192" t="str">
        <f t="shared" si="210"/>
        <v>deep_tendon_reflex_upper_extremity_left</v>
      </c>
      <c r="L214" s="193"/>
      <c r="M214" s="193"/>
      <c r="N214" s="193"/>
      <c r="O214" s="193"/>
      <c r="P214" s="194" t="s">
        <v>4955</v>
      </c>
      <c r="Q214" s="194" t="s">
        <v>4955</v>
      </c>
    </row>
    <row r="215">
      <c r="A215" s="33"/>
      <c r="B215" s="33" t="s">
        <v>4751</v>
      </c>
      <c r="C215" s="12" t="s">
        <v>4956</v>
      </c>
      <c r="D215" s="12" t="s">
        <v>4948</v>
      </c>
      <c r="E215" s="61" t="s">
        <v>4957</v>
      </c>
      <c r="F215" s="121" t="s">
        <v>4958</v>
      </c>
      <c r="G215" s="118"/>
      <c r="H215" s="192" t="str">
        <f t="shared" ref="H215:K215" si="211">lower(C215)</f>
        <v>deeptendonreflexkneeright</v>
      </c>
      <c r="I215" s="192" t="str">
        <f t="shared" si="211"/>
        <v>deeptendonreflex</v>
      </c>
      <c r="J215" s="192" t="str">
        <f t="shared" si="211"/>
        <v>deep tendon reflexes - knees - right</v>
      </c>
      <c r="K215" s="192" t="str">
        <f t="shared" si="211"/>
        <v>deep_tendon_reflex_knee_right</v>
      </c>
      <c r="L215" s="193"/>
      <c r="M215" s="193"/>
      <c r="N215" s="193"/>
      <c r="O215" s="193"/>
      <c r="P215" s="194" t="s">
        <v>4959</v>
      </c>
      <c r="Q215" s="194" t="s">
        <v>4959</v>
      </c>
    </row>
    <row r="216">
      <c r="A216" s="33"/>
      <c r="B216" s="33" t="s">
        <v>4751</v>
      </c>
      <c r="C216" s="12" t="s">
        <v>4960</v>
      </c>
      <c r="D216" s="12" t="s">
        <v>4948</v>
      </c>
      <c r="E216" s="61" t="s">
        <v>4961</v>
      </c>
      <c r="F216" s="121" t="s">
        <v>4962</v>
      </c>
      <c r="G216" s="118"/>
      <c r="H216" s="192" t="str">
        <f t="shared" ref="H216:K216" si="212">lower(C216)</f>
        <v>deeptendonreflexkneeleft</v>
      </c>
      <c r="I216" s="192" t="str">
        <f t="shared" si="212"/>
        <v>deeptendonreflex</v>
      </c>
      <c r="J216" s="192" t="str">
        <f t="shared" si="212"/>
        <v>deep tendon reflexes - knees - left</v>
      </c>
      <c r="K216" s="192" t="str">
        <f t="shared" si="212"/>
        <v>deep_tendon_reflex_knee_left</v>
      </c>
      <c r="L216" s="193"/>
      <c r="M216" s="193"/>
      <c r="N216" s="193"/>
      <c r="O216" s="193"/>
      <c r="P216" s="194" t="s">
        <v>4963</v>
      </c>
      <c r="Q216" s="194" t="s">
        <v>4963</v>
      </c>
    </row>
    <row r="217">
      <c r="A217" s="33"/>
      <c r="B217" s="33" t="s">
        <v>4751</v>
      </c>
      <c r="C217" s="12" t="s">
        <v>4964</v>
      </c>
      <c r="D217" s="12" t="s">
        <v>4948</v>
      </c>
      <c r="E217" s="61" t="s">
        <v>4965</v>
      </c>
      <c r="F217" s="121" t="s">
        <v>4966</v>
      </c>
      <c r="G217" s="118"/>
      <c r="H217" s="192" t="str">
        <f t="shared" ref="H217:K217" si="213">lower(C217)</f>
        <v>deeptendonreflexankleright</v>
      </c>
      <c r="I217" s="192" t="str">
        <f t="shared" si="213"/>
        <v>deeptendonreflex</v>
      </c>
      <c r="J217" s="192" t="str">
        <f t="shared" si="213"/>
        <v>deep tendon reflexes - ankles - right</v>
      </c>
      <c r="K217" s="192" t="str">
        <f t="shared" si="213"/>
        <v>deep_tendon_reflex_ankle_right</v>
      </c>
      <c r="L217" s="193"/>
      <c r="M217" s="193"/>
      <c r="N217" s="193"/>
      <c r="O217" s="193"/>
      <c r="P217" s="194" t="s">
        <v>4967</v>
      </c>
      <c r="Q217" s="194" t="s">
        <v>4967</v>
      </c>
    </row>
    <row r="218">
      <c r="A218" s="33"/>
      <c r="B218" s="33" t="s">
        <v>4751</v>
      </c>
      <c r="C218" s="12" t="s">
        <v>4968</v>
      </c>
      <c r="D218" s="12" t="s">
        <v>4948</v>
      </c>
      <c r="E218" s="61" t="s">
        <v>4969</v>
      </c>
      <c r="F218" s="121" t="s">
        <v>4970</v>
      </c>
      <c r="G218" s="118"/>
      <c r="H218" s="192" t="str">
        <f t="shared" ref="H218:K218" si="214">lower(C218)</f>
        <v>deeptendonreflexankleleft</v>
      </c>
      <c r="I218" s="192" t="str">
        <f t="shared" si="214"/>
        <v>deeptendonreflex</v>
      </c>
      <c r="J218" s="192" t="str">
        <f t="shared" si="214"/>
        <v>deep tendon reflexes - ankles - left</v>
      </c>
      <c r="K218" s="192" t="str">
        <f t="shared" si="214"/>
        <v>deep_tendon_reflex_ankle_left</v>
      </c>
      <c r="L218" s="193"/>
      <c r="M218" s="193"/>
      <c r="N218" s="193"/>
      <c r="O218" s="193"/>
      <c r="P218" s="194" t="s">
        <v>4971</v>
      </c>
      <c r="Q218" s="194" t="s">
        <v>4971</v>
      </c>
    </row>
    <row r="219">
      <c r="A219" s="33"/>
      <c r="B219" s="33" t="s">
        <v>4751</v>
      </c>
      <c r="C219" s="12" t="s">
        <v>4972</v>
      </c>
      <c r="D219" s="12" t="s">
        <v>4973</v>
      </c>
      <c r="E219" s="61" t="s">
        <v>4974</v>
      </c>
      <c r="F219" s="121" t="s">
        <v>4975</v>
      </c>
      <c r="G219" s="118"/>
      <c r="H219" s="192" t="str">
        <f t="shared" ref="H219:K219" si="215">lower(C219)</f>
        <v>ankleclonusright</v>
      </c>
      <c r="I219" s="192" t="str">
        <f t="shared" si="215"/>
        <v>ankleclonus</v>
      </c>
      <c r="J219" s="192" t="str">
        <f t="shared" si="215"/>
        <v>ankle clonus - right</v>
      </c>
      <c r="K219" s="192" t="str">
        <f t="shared" si="215"/>
        <v>ankle_clonus_right</v>
      </c>
      <c r="L219" s="193"/>
      <c r="M219" s="193"/>
      <c r="N219" s="193"/>
      <c r="O219" s="193"/>
      <c r="P219" s="194" t="s">
        <v>4976</v>
      </c>
      <c r="Q219" s="194" t="s">
        <v>4976</v>
      </c>
    </row>
    <row r="220">
      <c r="A220" s="33"/>
      <c r="B220" s="33" t="s">
        <v>4751</v>
      </c>
      <c r="C220" s="12" t="s">
        <v>4977</v>
      </c>
      <c r="D220" s="12" t="s">
        <v>4973</v>
      </c>
      <c r="E220" s="61" t="s">
        <v>4978</v>
      </c>
      <c r="F220" s="121" t="s">
        <v>4979</v>
      </c>
      <c r="G220" s="118"/>
      <c r="H220" s="192" t="str">
        <f t="shared" ref="H220:K220" si="216">lower(C220)</f>
        <v>ankleclonusleft</v>
      </c>
      <c r="I220" s="192" t="str">
        <f t="shared" si="216"/>
        <v>ankleclonus</v>
      </c>
      <c r="J220" s="192" t="str">
        <f t="shared" si="216"/>
        <v>ankle clonus - left</v>
      </c>
      <c r="K220" s="192" t="str">
        <f t="shared" si="216"/>
        <v>ankle_clonus_left</v>
      </c>
      <c r="L220" s="193"/>
      <c r="M220" s="193"/>
      <c r="N220" s="193"/>
      <c r="O220" s="193"/>
      <c r="P220" s="194" t="s">
        <v>4980</v>
      </c>
      <c r="Q220" s="194" t="s">
        <v>4980</v>
      </c>
    </row>
    <row r="221">
      <c r="A221" s="33"/>
      <c r="B221" s="33" t="s">
        <v>4751</v>
      </c>
      <c r="C221" s="12" t="s">
        <v>4981</v>
      </c>
      <c r="D221" s="12" t="s">
        <v>4982</v>
      </c>
      <c r="E221" s="61" t="s">
        <v>4983</v>
      </c>
      <c r="F221" s="121" t="s">
        <v>4984</v>
      </c>
      <c r="G221" s="118"/>
      <c r="H221" s="192" t="str">
        <f t="shared" ref="H221:K221" si="217">lower(C221)</f>
        <v>plantarreflexright</v>
      </c>
      <c r="I221" s="192" t="str">
        <f t="shared" si="217"/>
        <v>plantarreflex</v>
      </c>
      <c r="J221" s="192" t="str">
        <f t="shared" si="217"/>
        <v>plantar reflexes - right</v>
      </c>
      <c r="K221" s="192" t="str">
        <f t="shared" si="217"/>
        <v>plantar_reflex_right</v>
      </c>
      <c r="L221" s="193"/>
      <c r="M221" s="193"/>
      <c r="N221" s="193"/>
      <c r="O221" s="193"/>
      <c r="P221" s="194" t="s">
        <v>4985</v>
      </c>
      <c r="Q221" s="194" t="s">
        <v>4985</v>
      </c>
    </row>
    <row r="222">
      <c r="A222" s="33"/>
      <c r="B222" s="33" t="s">
        <v>4751</v>
      </c>
      <c r="C222" s="12" t="s">
        <v>4986</v>
      </c>
      <c r="D222" s="12" t="s">
        <v>4982</v>
      </c>
      <c r="E222" s="61" t="s">
        <v>4987</v>
      </c>
      <c r="F222" s="121" t="s">
        <v>4988</v>
      </c>
      <c r="G222" s="118"/>
      <c r="H222" s="192" t="str">
        <f t="shared" ref="H222:K222" si="218">lower(C222)</f>
        <v>plantarreflexleft</v>
      </c>
      <c r="I222" s="192" t="str">
        <f t="shared" si="218"/>
        <v>plantarreflex</v>
      </c>
      <c r="J222" s="192" t="str">
        <f t="shared" si="218"/>
        <v>plantar reflexes - left</v>
      </c>
      <c r="K222" s="192" t="str">
        <f t="shared" si="218"/>
        <v>plantar_reflex_left</v>
      </c>
      <c r="L222" s="193"/>
      <c r="M222" s="193"/>
      <c r="N222" s="193"/>
      <c r="O222" s="193"/>
      <c r="P222" s="194" t="s">
        <v>4989</v>
      </c>
      <c r="Q222" s="194" t="s">
        <v>4989</v>
      </c>
    </row>
    <row r="223">
      <c r="A223" s="33"/>
      <c r="B223" s="33"/>
      <c r="C223" s="118"/>
      <c r="D223" s="118"/>
      <c r="F223" s="121" t="s">
        <v>851</v>
      </c>
      <c r="G223" s="118"/>
      <c r="H223" s="192" t="str">
        <f t="shared" ref="H223:K223" si="219">lower(C223)</f>
        <v/>
      </c>
      <c r="I223" s="192" t="str">
        <f t="shared" si="219"/>
        <v/>
      </c>
      <c r="J223" s="192" t="str">
        <f t="shared" si="219"/>
        <v/>
      </c>
      <c r="K223" s="192" t="str">
        <f t="shared" si="219"/>
        <v/>
      </c>
      <c r="L223" s="193"/>
      <c r="M223" s="193"/>
      <c r="N223" s="193"/>
      <c r="O223" s="193"/>
      <c r="P223" s="193"/>
      <c r="Q223" s="193"/>
    </row>
    <row r="224">
      <c r="A224" s="33" t="s">
        <v>4205</v>
      </c>
      <c r="B224" s="33" t="s">
        <v>4751</v>
      </c>
      <c r="C224" s="12" t="s">
        <v>4990</v>
      </c>
      <c r="D224" s="12" t="s">
        <v>4990</v>
      </c>
      <c r="E224" s="61" t="s">
        <v>4991</v>
      </c>
      <c r="F224" s="121" t="s">
        <v>4992</v>
      </c>
      <c r="G224" s="118"/>
      <c r="H224" s="192" t="str">
        <f t="shared" ref="H224:K224" si="220">lower(C224)</f>
        <v>axisheadneck</v>
      </c>
      <c r="I224" s="192" t="str">
        <f t="shared" si="220"/>
        <v>axisheadneck</v>
      </c>
      <c r="J224" s="192" t="str">
        <f t="shared" si="220"/>
        <v>axis - head and neck</v>
      </c>
      <c r="K224" s="192" t="str">
        <f t="shared" si="220"/>
        <v>axis_head_neck</v>
      </c>
      <c r="L224" s="193"/>
      <c r="M224" s="193"/>
      <c r="N224" s="193"/>
      <c r="O224" s="193"/>
      <c r="P224" s="194" t="s">
        <v>4993</v>
      </c>
      <c r="Q224" s="194" t="s">
        <v>4993</v>
      </c>
    </row>
    <row r="225">
      <c r="A225" s="33"/>
      <c r="B225" s="33" t="s">
        <v>4751</v>
      </c>
      <c r="C225" s="12" t="s">
        <v>4994</v>
      </c>
      <c r="D225" s="12" t="s">
        <v>4994</v>
      </c>
      <c r="E225" s="61" t="s">
        <v>4995</v>
      </c>
      <c r="F225" s="121" t="s">
        <v>4996</v>
      </c>
      <c r="G225" s="118"/>
      <c r="H225" s="192" t="str">
        <f t="shared" ref="H225:K225" si="221">lower(C225)</f>
        <v>axistrunk</v>
      </c>
      <c r="I225" s="192" t="str">
        <f t="shared" si="221"/>
        <v>axistrunk</v>
      </c>
      <c r="J225" s="192" t="str">
        <f t="shared" si="221"/>
        <v>axis - trunk</v>
      </c>
      <c r="K225" s="192" t="str">
        <f t="shared" si="221"/>
        <v>axis_trunk</v>
      </c>
      <c r="L225" s="193"/>
      <c r="M225" s="193"/>
      <c r="N225" s="193"/>
      <c r="O225" s="193"/>
      <c r="P225" s="194" t="s">
        <v>4997</v>
      </c>
      <c r="Q225" s="194" t="s">
        <v>4997</v>
      </c>
    </row>
    <row r="226">
      <c r="A226" s="33"/>
      <c r="B226" s="33" t="s">
        <v>4751</v>
      </c>
      <c r="C226" s="12" t="s">
        <v>4998</v>
      </c>
      <c r="D226" s="12" t="s">
        <v>4998</v>
      </c>
      <c r="E226" s="61" t="s">
        <v>4999</v>
      </c>
      <c r="F226" s="121" t="s">
        <v>5000</v>
      </c>
      <c r="G226" s="118"/>
      <c r="H226" s="192" t="str">
        <f t="shared" ref="H226:K226" si="222">lower(C226)</f>
        <v>lowerlimbfunction</v>
      </c>
      <c r="I226" s="192" t="str">
        <f t="shared" si="222"/>
        <v>lowerlimbfunction</v>
      </c>
      <c r="J226" s="192" t="str">
        <f t="shared" si="222"/>
        <v>lower limb function-gait</v>
      </c>
      <c r="K226" s="192" t="str">
        <f t="shared" si="222"/>
        <v>lower_limb_function</v>
      </c>
      <c r="L226" s="193"/>
      <c r="M226" s="193"/>
      <c r="N226" s="193"/>
      <c r="O226" s="193"/>
      <c r="P226" s="194" t="s">
        <v>5001</v>
      </c>
      <c r="Q226" s="194" t="s">
        <v>5001</v>
      </c>
    </row>
    <row r="227">
      <c r="A227" s="33"/>
      <c r="B227" s="33" t="s">
        <v>4751</v>
      </c>
      <c r="C227" s="12" t="s">
        <v>5002</v>
      </c>
      <c r="D227" s="12" t="s">
        <v>5002</v>
      </c>
      <c r="E227" s="61" t="s">
        <v>5003</v>
      </c>
      <c r="F227" s="121" t="s">
        <v>5004</v>
      </c>
      <c r="G227" s="118"/>
      <c r="H227" s="192" t="str">
        <f t="shared" ref="H227:K227" si="223">lower(C227)</f>
        <v>upperlimbfunction</v>
      </c>
      <c r="I227" s="192" t="str">
        <f t="shared" si="223"/>
        <v>upperlimbfunction</v>
      </c>
      <c r="J227" s="192" t="str">
        <f t="shared" si="223"/>
        <v>upper limb function</v>
      </c>
      <c r="K227" s="192" t="str">
        <f t="shared" si="223"/>
        <v>upper_limb_function</v>
      </c>
      <c r="L227" s="193"/>
      <c r="M227" s="193"/>
      <c r="N227" s="193"/>
      <c r="O227" s="193"/>
      <c r="P227" s="194" t="s">
        <v>5005</v>
      </c>
      <c r="Q227" s="194" t="s">
        <v>5005</v>
      </c>
    </row>
    <row r="228">
      <c r="A228" s="33"/>
      <c r="B228" s="33" t="s">
        <v>4751</v>
      </c>
      <c r="C228" s="12" t="s">
        <v>5006</v>
      </c>
      <c r="D228" s="12" t="s">
        <v>5007</v>
      </c>
      <c r="E228" s="61" t="s">
        <v>5008</v>
      </c>
      <c r="F228" s="121" t="s">
        <v>5009</v>
      </c>
      <c r="G228" s="118"/>
      <c r="H228" s="192" t="str">
        <f t="shared" ref="H228:K228" si="224">lower(C228)</f>
        <v>handfunctionright</v>
      </c>
      <c r="I228" s="192" t="str">
        <f t="shared" si="224"/>
        <v>handfunction</v>
      </c>
      <c r="J228" s="192" t="str">
        <f t="shared" si="224"/>
        <v>hand function - right</v>
      </c>
      <c r="K228" s="192" t="str">
        <f t="shared" si="224"/>
        <v>hand_function_right</v>
      </c>
      <c r="L228" s="193"/>
      <c r="M228" s="193"/>
      <c r="N228" s="193"/>
      <c r="O228" s="193"/>
      <c r="P228" s="194" t="s">
        <v>5010</v>
      </c>
      <c r="Q228" s="194" t="s">
        <v>5010</v>
      </c>
    </row>
    <row r="229">
      <c r="A229" s="33"/>
      <c r="B229" s="33" t="s">
        <v>4751</v>
      </c>
      <c r="C229" s="12" t="s">
        <v>5011</v>
      </c>
      <c r="D229" s="12" t="s">
        <v>5007</v>
      </c>
      <c r="E229" s="61" t="s">
        <v>5012</v>
      </c>
      <c r="F229" s="121" t="s">
        <v>5013</v>
      </c>
      <c r="G229" s="118"/>
      <c r="H229" s="192" t="str">
        <f t="shared" ref="H229:K229" si="225">lower(C229)</f>
        <v>handfunctionleft</v>
      </c>
      <c r="I229" s="192" t="str">
        <f t="shared" si="225"/>
        <v>handfunction</v>
      </c>
      <c r="J229" s="192" t="str">
        <f t="shared" si="225"/>
        <v>hand function - left</v>
      </c>
      <c r="K229" s="192" t="str">
        <f t="shared" si="225"/>
        <v>hand_function_left</v>
      </c>
      <c r="L229" s="193"/>
      <c r="M229" s="193"/>
      <c r="N229" s="193"/>
      <c r="O229" s="193"/>
      <c r="P229" s="194" t="s">
        <v>5014</v>
      </c>
      <c r="Q229" s="194" t="s">
        <v>5014</v>
      </c>
    </row>
    <row r="230">
      <c r="A230" s="33"/>
      <c r="B230" s="33"/>
      <c r="C230" s="118"/>
      <c r="D230" s="118"/>
      <c r="F230" s="121" t="s">
        <v>851</v>
      </c>
      <c r="G230" s="118"/>
      <c r="H230" s="192" t="str">
        <f t="shared" ref="H230:K230" si="226">lower(C230)</f>
        <v/>
      </c>
      <c r="I230" s="192" t="str">
        <f t="shared" si="226"/>
        <v/>
      </c>
      <c r="J230" s="192" t="str">
        <f t="shared" si="226"/>
        <v/>
      </c>
      <c r="K230" s="192" t="str">
        <f t="shared" si="226"/>
        <v/>
      </c>
      <c r="L230" s="193"/>
      <c r="M230" s="193"/>
      <c r="N230" s="193"/>
      <c r="O230" s="193"/>
      <c r="P230" s="193"/>
      <c r="Q230" s="193"/>
    </row>
    <row r="231">
      <c r="A231" s="33" t="s">
        <v>4205</v>
      </c>
      <c r="B231" s="33" t="s">
        <v>4751</v>
      </c>
      <c r="C231" s="12" t="s">
        <v>5015</v>
      </c>
      <c r="D231" s="12" t="s">
        <v>40</v>
      </c>
      <c r="E231" s="61" t="s">
        <v>5016</v>
      </c>
      <c r="F231" s="121" t="s">
        <v>5017</v>
      </c>
      <c r="G231" s="118"/>
      <c r="H231" s="192" t="str">
        <f t="shared" ref="H231:K231" si="227">lower(C231)</f>
        <v>neuralnormal</v>
      </c>
      <c r="I231" s="192" t="str">
        <f t="shared" si="227"/>
        <v>bool</v>
      </c>
      <c r="J231" s="192" t="str">
        <f t="shared" si="227"/>
        <v>normal?</v>
      </c>
      <c r="K231" s="192" t="str">
        <f t="shared" si="227"/>
        <v>neural_normal</v>
      </c>
      <c r="L231" s="193"/>
      <c r="M231" s="193"/>
      <c r="N231" s="193"/>
      <c r="O231" s="193"/>
      <c r="P231" s="194" t="s">
        <v>5018</v>
      </c>
      <c r="Q231" s="194" t="s">
        <v>5018</v>
      </c>
    </row>
    <row r="232">
      <c r="A232" s="33"/>
      <c r="B232" s="33" t="s">
        <v>4751</v>
      </c>
      <c r="C232" s="12" t="s">
        <v>5019</v>
      </c>
      <c r="D232" s="12" t="s">
        <v>40</v>
      </c>
      <c r="E232" s="61" t="s">
        <v>5020</v>
      </c>
      <c r="F232" s="121" t="s">
        <v>5021</v>
      </c>
      <c r="G232" s="118"/>
      <c r="H232" s="192" t="str">
        <f t="shared" ref="H232:K232" si="228">lower(C232)</f>
        <v>generalizedhypotonia</v>
      </c>
      <c r="I232" s="192" t="str">
        <f t="shared" si="228"/>
        <v>bool</v>
      </c>
      <c r="J232" s="192" t="str">
        <f t="shared" si="228"/>
        <v>generalized hypotonia?</v>
      </c>
      <c r="K232" s="192" t="str">
        <f t="shared" si="228"/>
        <v>generalized_hypotonia</v>
      </c>
      <c r="L232" s="193"/>
      <c r="M232" s="193"/>
      <c r="N232" s="193"/>
      <c r="O232" s="193"/>
      <c r="P232" s="194" t="s">
        <v>5022</v>
      </c>
      <c r="Q232" s="194" t="s">
        <v>5022</v>
      </c>
    </row>
    <row r="233">
      <c r="A233" s="33"/>
      <c r="B233" s="33" t="s">
        <v>4751</v>
      </c>
      <c r="C233" s="12" t="s">
        <v>5023</v>
      </c>
      <c r="D233" s="12" t="s">
        <v>40</v>
      </c>
      <c r="E233" s="61" t="s">
        <v>5024</v>
      </c>
      <c r="F233" s="121" t="s">
        <v>5023</v>
      </c>
      <c r="G233" s="118"/>
      <c r="H233" s="192" t="str">
        <f t="shared" ref="H233:K233" si="229">lower(C233)</f>
        <v>hypertonia</v>
      </c>
      <c r="I233" s="192" t="str">
        <f t="shared" si="229"/>
        <v>bool</v>
      </c>
      <c r="J233" s="192" t="str">
        <f t="shared" si="229"/>
        <v>hypertonia?</v>
      </c>
      <c r="K233" s="192" t="str">
        <f t="shared" si="229"/>
        <v>hypertonia</v>
      </c>
      <c r="L233" s="193"/>
      <c r="M233" s="193"/>
      <c r="N233" s="193"/>
      <c r="O233" s="193"/>
      <c r="P233" s="194" t="s">
        <v>5025</v>
      </c>
      <c r="Q233" s="194" t="s">
        <v>5025</v>
      </c>
    </row>
    <row r="234">
      <c r="A234" s="33"/>
      <c r="B234" s="33" t="s">
        <v>4751</v>
      </c>
      <c r="C234" s="12" t="s">
        <v>5026</v>
      </c>
      <c r="D234" s="12" t="s">
        <v>40</v>
      </c>
      <c r="E234" s="61" t="s">
        <v>5027</v>
      </c>
      <c r="F234" s="121" t="s">
        <v>5028</v>
      </c>
      <c r="G234" s="118"/>
      <c r="H234" s="192" t="str">
        <f t="shared" ref="H234:K234" si="230">lower(C234)</f>
        <v>neuralother</v>
      </c>
      <c r="I234" s="192" t="str">
        <f t="shared" si="230"/>
        <v>bool</v>
      </c>
      <c r="J234" s="192" t="str">
        <f t="shared" si="230"/>
        <v>neural - other?</v>
      </c>
      <c r="K234" s="192" t="str">
        <f t="shared" si="230"/>
        <v>neural_other</v>
      </c>
      <c r="L234" s="193"/>
      <c r="M234" s="193"/>
      <c r="N234" s="193"/>
      <c r="O234" s="193"/>
      <c r="P234" s="345" t="s">
        <v>5029</v>
      </c>
      <c r="Q234" s="194" t="s">
        <v>5029</v>
      </c>
    </row>
    <row r="235">
      <c r="A235" s="33"/>
      <c r="B235" s="33" t="s">
        <v>4751</v>
      </c>
      <c r="C235" s="12" t="s">
        <v>5030</v>
      </c>
      <c r="D235" s="12" t="s">
        <v>16</v>
      </c>
      <c r="E235" s="346" t="s">
        <v>5031</v>
      </c>
      <c r="F235" s="121" t="s">
        <v>5032</v>
      </c>
      <c r="G235" s="118"/>
      <c r="H235" s="192" t="str">
        <f t="shared" ref="H235:K235" si="231">lower(C235)</f>
        <v>neuralothertext</v>
      </c>
      <c r="I235" s="192" t="str">
        <f t="shared" si="231"/>
        <v>text</v>
      </c>
      <c r="J235" s="192" t="str">
        <f t="shared" si="231"/>
        <v>neural - other - specify</v>
      </c>
      <c r="K235" s="192" t="str">
        <f t="shared" si="231"/>
        <v>neural_other_text</v>
      </c>
      <c r="L235" s="193"/>
      <c r="M235" s="193"/>
      <c r="N235" s="193"/>
      <c r="O235" s="193"/>
      <c r="P235" s="345" t="s">
        <v>5033</v>
      </c>
      <c r="Q235" s="194" t="s">
        <v>5033</v>
      </c>
    </row>
    <row r="236">
      <c r="A236" s="33"/>
      <c r="B236" s="33" t="s">
        <v>4751</v>
      </c>
      <c r="C236" s="12" t="s">
        <v>5034</v>
      </c>
      <c r="D236" s="12" t="s">
        <v>40</v>
      </c>
      <c r="E236" s="61" t="s">
        <v>5035</v>
      </c>
      <c r="F236" s="121" t="s">
        <v>5036</v>
      </c>
      <c r="G236" s="118"/>
      <c r="H236" s="192" t="str">
        <f t="shared" ref="H236:K236" si="232">lower(C236)</f>
        <v>spasticdiplegia</v>
      </c>
      <c r="I236" s="192" t="str">
        <f t="shared" si="232"/>
        <v>bool</v>
      </c>
      <c r="J236" s="192" t="str">
        <f t="shared" si="232"/>
        <v>spastic diplegia?</v>
      </c>
      <c r="K236" s="192" t="str">
        <f t="shared" si="232"/>
        <v>spastic_diplegia</v>
      </c>
      <c r="L236" s="193"/>
      <c r="M236" s="193"/>
      <c r="N236" s="193"/>
      <c r="O236" s="193"/>
      <c r="P236" s="194" t="s">
        <v>5037</v>
      </c>
      <c r="Q236" s="194" t="s">
        <v>5037</v>
      </c>
    </row>
    <row r="237">
      <c r="A237" s="33"/>
      <c r="B237" s="33" t="s">
        <v>4751</v>
      </c>
      <c r="C237" s="12" t="s">
        <v>5038</v>
      </c>
      <c r="D237" s="12" t="s">
        <v>40</v>
      </c>
      <c r="E237" s="61" t="s">
        <v>5039</v>
      </c>
      <c r="F237" s="121" t="s">
        <v>5040</v>
      </c>
      <c r="G237" s="118"/>
      <c r="H237" s="192" t="str">
        <f t="shared" ref="H237:K237" si="233">lower(C237)</f>
        <v>spastichemiplegiaright</v>
      </c>
      <c r="I237" s="192" t="str">
        <f t="shared" si="233"/>
        <v>bool</v>
      </c>
      <c r="J237" s="192" t="str">
        <f t="shared" si="233"/>
        <v>spastic hemiplegia - right</v>
      </c>
      <c r="K237" s="192" t="str">
        <f t="shared" si="233"/>
        <v>spastic_hemiplegia_right</v>
      </c>
      <c r="L237" s="193"/>
      <c r="M237" s="193"/>
      <c r="N237" s="193"/>
      <c r="O237" s="193"/>
      <c r="P237" s="194" t="s">
        <v>5041</v>
      </c>
      <c r="Q237" s="194" t="s">
        <v>5041</v>
      </c>
    </row>
    <row r="238">
      <c r="A238" s="33"/>
      <c r="B238" s="33" t="s">
        <v>4751</v>
      </c>
      <c r="C238" s="12" t="s">
        <v>5042</v>
      </c>
      <c r="D238" s="12" t="s">
        <v>40</v>
      </c>
      <c r="E238" s="61" t="s">
        <v>5043</v>
      </c>
      <c r="F238" s="121" t="s">
        <v>5044</v>
      </c>
      <c r="G238" s="118"/>
      <c r="H238" s="192" t="str">
        <f t="shared" ref="H238:K238" si="234">lower(C238)</f>
        <v>spastichemiplegialeft</v>
      </c>
      <c r="I238" s="192" t="str">
        <f t="shared" si="234"/>
        <v>bool</v>
      </c>
      <c r="J238" s="192" t="str">
        <f t="shared" si="234"/>
        <v>spastic hemiplegia - left</v>
      </c>
      <c r="K238" s="192" t="str">
        <f t="shared" si="234"/>
        <v>spastic_hemiplegia_left</v>
      </c>
      <c r="L238" s="193"/>
      <c r="M238" s="193"/>
      <c r="N238" s="193"/>
      <c r="O238" s="193"/>
      <c r="P238" s="194" t="s">
        <v>5045</v>
      </c>
      <c r="Q238" s="194" t="s">
        <v>5045</v>
      </c>
    </row>
    <row r="239">
      <c r="A239" s="33"/>
      <c r="B239" s="33" t="s">
        <v>4751</v>
      </c>
      <c r="C239" s="12" t="s">
        <v>5046</v>
      </c>
      <c r="D239" s="12" t="s">
        <v>40</v>
      </c>
      <c r="E239" s="61" t="s">
        <v>5047</v>
      </c>
      <c r="F239" s="121" t="s">
        <v>5048</v>
      </c>
      <c r="G239" s="118"/>
      <c r="H239" s="192" t="str">
        <f t="shared" ref="H239:K239" si="235">lower(C239)</f>
        <v>spasticquadriplegia</v>
      </c>
      <c r="I239" s="192" t="str">
        <f t="shared" si="235"/>
        <v>bool</v>
      </c>
      <c r="J239" s="192" t="str">
        <f t="shared" si="235"/>
        <v>spastic quadriplegia</v>
      </c>
      <c r="K239" s="192" t="str">
        <f t="shared" si="235"/>
        <v>spastic_quadriplegia</v>
      </c>
      <c r="L239" s="193"/>
      <c r="M239" s="193"/>
      <c r="N239" s="193"/>
      <c r="O239" s="193"/>
      <c r="P239" s="194" t="s">
        <v>5049</v>
      </c>
      <c r="Q239" s="194" t="s">
        <v>5049</v>
      </c>
    </row>
    <row r="240">
      <c r="A240" s="33"/>
      <c r="B240" s="33" t="s">
        <v>4751</v>
      </c>
      <c r="C240" s="12" t="s">
        <v>5050</v>
      </c>
      <c r="D240" s="12" t="s">
        <v>40</v>
      </c>
      <c r="E240" s="61" t="s">
        <v>5051</v>
      </c>
      <c r="F240" s="121" t="s">
        <v>5052</v>
      </c>
      <c r="G240" s="118"/>
      <c r="H240" s="192" t="str">
        <f t="shared" ref="H240:K240" si="236">lower(C240)</f>
        <v>spastictriplegia</v>
      </c>
      <c r="I240" s="192" t="str">
        <f t="shared" si="236"/>
        <v>bool</v>
      </c>
      <c r="J240" s="192" t="str">
        <f t="shared" si="236"/>
        <v>spastic triplegia</v>
      </c>
      <c r="K240" s="192" t="str">
        <f t="shared" si="236"/>
        <v>spastic_triplegia</v>
      </c>
      <c r="L240" s="193"/>
      <c r="M240" s="193"/>
      <c r="N240" s="193"/>
      <c r="O240" s="193"/>
      <c r="P240" s="194" t="s">
        <v>5053</v>
      </c>
      <c r="Q240" s="193"/>
    </row>
    <row r="241">
      <c r="A241" s="33"/>
      <c r="B241" s="33" t="s">
        <v>4751</v>
      </c>
      <c r="C241" s="12" t="s">
        <v>5054</v>
      </c>
      <c r="D241" s="12" t="s">
        <v>40</v>
      </c>
      <c r="E241" s="61" t="s">
        <v>5055</v>
      </c>
      <c r="F241" s="121" t="s">
        <v>5054</v>
      </c>
      <c r="G241" s="118"/>
      <c r="H241" s="192" t="str">
        <f t="shared" ref="H241:K241" si="237">lower(C241)</f>
        <v>dystonia</v>
      </c>
      <c r="I241" s="192" t="str">
        <f t="shared" si="237"/>
        <v>bool</v>
      </c>
      <c r="J241" s="192" t="str">
        <f t="shared" si="237"/>
        <v>dystonia?</v>
      </c>
      <c r="K241" s="192" t="str">
        <f t="shared" si="237"/>
        <v>dystonia</v>
      </c>
      <c r="L241" s="193"/>
      <c r="M241" s="193"/>
      <c r="N241" s="193"/>
      <c r="O241" s="193"/>
      <c r="P241" s="194"/>
      <c r="Q241" s="194" t="s">
        <v>5056</v>
      </c>
    </row>
    <row r="242">
      <c r="A242" s="33"/>
      <c r="B242" s="33" t="s">
        <v>4751</v>
      </c>
      <c r="C242" s="12" t="s">
        <v>5057</v>
      </c>
      <c r="D242" s="12" t="s">
        <v>40</v>
      </c>
      <c r="E242" s="61" t="s">
        <v>5058</v>
      </c>
      <c r="F242" s="121" t="s">
        <v>5057</v>
      </c>
      <c r="G242" s="118"/>
      <c r="H242" s="192" t="str">
        <f t="shared" ref="H242:K242" si="238">lower(C242)</f>
        <v>athetosis</v>
      </c>
      <c r="I242" s="192" t="str">
        <f t="shared" si="238"/>
        <v>bool</v>
      </c>
      <c r="J242" s="192" t="str">
        <f t="shared" si="238"/>
        <v>athetosis?</v>
      </c>
      <c r="K242" s="192" t="str">
        <f t="shared" si="238"/>
        <v>athetosis</v>
      </c>
      <c r="L242" s="193"/>
      <c r="M242" s="193"/>
      <c r="N242" s="193"/>
      <c r="O242" s="193"/>
      <c r="P242" s="194"/>
      <c r="Q242" s="194" t="s">
        <v>5059</v>
      </c>
    </row>
    <row r="243">
      <c r="A243" s="33"/>
      <c r="B243" s="33" t="s">
        <v>4751</v>
      </c>
      <c r="C243" s="12" t="s">
        <v>5060</v>
      </c>
      <c r="D243" s="12" t="s">
        <v>40</v>
      </c>
      <c r="E243" s="61" t="s">
        <v>5061</v>
      </c>
      <c r="F243" s="121" t="s">
        <v>5062</v>
      </c>
      <c r="G243" s="118"/>
      <c r="H243" s="192" t="str">
        <f t="shared" ref="H243:K243" si="239">lower(C243)</f>
        <v>athetosisdystonia</v>
      </c>
      <c r="I243" s="192" t="str">
        <f t="shared" si="239"/>
        <v>bool</v>
      </c>
      <c r="J243" s="192" t="str">
        <f t="shared" si="239"/>
        <v>athetosis / dystonia with varying tone</v>
      </c>
      <c r="K243" s="192" t="str">
        <f t="shared" si="239"/>
        <v>athetosis_dystonia</v>
      </c>
      <c r="L243" s="193"/>
      <c r="M243" s="193"/>
      <c r="N243" s="193"/>
      <c r="O243" s="193"/>
      <c r="P243" s="194" t="s">
        <v>5063</v>
      </c>
      <c r="Q243" s="193"/>
    </row>
    <row r="244">
      <c r="A244" s="33"/>
      <c r="B244" s="33" t="s">
        <v>4751</v>
      </c>
      <c r="C244" s="12" t="s">
        <v>5064</v>
      </c>
      <c r="D244" s="12" t="s">
        <v>40</v>
      </c>
      <c r="E244" s="61" t="s">
        <v>5065</v>
      </c>
      <c r="F244" s="121" t="s">
        <v>5066</v>
      </c>
      <c r="G244" s="118"/>
      <c r="H244" s="192" t="str">
        <f t="shared" ref="H244:K244" si="240">lower(C244)</f>
        <v>hypotoniaataxia</v>
      </c>
      <c r="I244" s="192" t="str">
        <f t="shared" si="240"/>
        <v>bool</v>
      </c>
      <c r="J244" s="192" t="str">
        <f t="shared" si="240"/>
        <v>hypotonia with ataxia</v>
      </c>
      <c r="K244" s="192" t="str">
        <f t="shared" si="240"/>
        <v>hypotonia_ataxia</v>
      </c>
      <c r="L244" s="193"/>
      <c r="M244" s="193"/>
      <c r="N244" s="193"/>
      <c r="O244" s="193"/>
      <c r="P244" s="194" t="s">
        <v>5067</v>
      </c>
      <c r="Q244" s="194" t="s">
        <v>5068</v>
      </c>
    </row>
    <row r="245">
      <c r="A245" s="33"/>
      <c r="B245" s="33" t="s">
        <v>4751</v>
      </c>
      <c r="C245" s="12" t="s">
        <v>5069</v>
      </c>
      <c r="D245" s="12" t="s">
        <v>40</v>
      </c>
      <c r="E245" s="61" t="s">
        <v>5070</v>
      </c>
      <c r="F245" s="121" t="s">
        <v>5071</v>
      </c>
      <c r="G245" s="118"/>
      <c r="H245" s="192" t="str">
        <f t="shared" ref="H245:K245" si="241">lower(C245)</f>
        <v>spasticmonoplegia</v>
      </c>
      <c r="I245" s="192" t="str">
        <f t="shared" si="241"/>
        <v>bool</v>
      </c>
      <c r="J245" s="192" t="str">
        <f t="shared" si="241"/>
        <v>spastic monoplegia</v>
      </c>
      <c r="K245" s="192" t="str">
        <f t="shared" si="241"/>
        <v>spastic_monoplegia</v>
      </c>
      <c r="L245" s="193"/>
      <c r="M245" s="193"/>
      <c r="N245" s="193"/>
      <c r="O245" s="193"/>
      <c r="P245" s="194" t="s">
        <v>5072</v>
      </c>
      <c r="Q245" s="193"/>
    </row>
    <row r="246">
      <c r="A246" s="33"/>
      <c r="B246" s="33" t="s">
        <v>4751</v>
      </c>
      <c r="C246" s="12" t="s">
        <v>5073</v>
      </c>
      <c r="D246" s="12" t="s">
        <v>40</v>
      </c>
      <c r="E246" s="61" t="s">
        <v>5074</v>
      </c>
      <c r="F246" s="121" t="s">
        <v>5075</v>
      </c>
      <c r="G246" s="118"/>
      <c r="H246" s="192" t="str">
        <f t="shared" ref="H246:K246" si="242">lower(C246)</f>
        <v>mixedcerebralpalsy</v>
      </c>
      <c r="I246" s="192" t="str">
        <f t="shared" si="242"/>
        <v>bool</v>
      </c>
      <c r="J246" s="192" t="str">
        <f t="shared" si="242"/>
        <v>mixed cerebral palsy</v>
      </c>
      <c r="K246" s="192" t="str">
        <f t="shared" si="242"/>
        <v>mixed_cerebral_palsy</v>
      </c>
      <c r="L246" s="193"/>
      <c r="M246" s="193"/>
      <c r="N246" s="193"/>
      <c r="O246" s="193"/>
      <c r="P246" s="194" t="s">
        <v>5076</v>
      </c>
      <c r="Q246" s="193"/>
    </row>
    <row r="247">
      <c r="A247" s="33"/>
      <c r="B247" s="33" t="s">
        <v>4751</v>
      </c>
      <c r="C247" s="12" t="s">
        <v>5077</v>
      </c>
      <c r="D247" s="12" t="s">
        <v>40</v>
      </c>
      <c r="E247" s="61" t="s">
        <v>5078</v>
      </c>
      <c r="F247" s="121" t="s">
        <v>5079</v>
      </c>
      <c r="G247" s="118"/>
      <c r="H247" s="192" t="str">
        <f t="shared" ref="H247:K247" si="243">lower(C247)</f>
        <v>cerebralpalsyunclassified</v>
      </c>
      <c r="I247" s="192" t="str">
        <f t="shared" si="243"/>
        <v>bool</v>
      </c>
      <c r="J247" s="192" t="str">
        <f t="shared" si="243"/>
        <v>cerebral palsy - unclassified</v>
      </c>
      <c r="K247" s="192" t="str">
        <f t="shared" si="243"/>
        <v>cerebral_palsy_unclassified</v>
      </c>
      <c r="L247" s="193"/>
      <c r="M247" s="193"/>
      <c r="N247" s="193"/>
      <c r="O247" s="193"/>
      <c r="P247" s="194" t="s">
        <v>5080</v>
      </c>
      <c r="Q247" s="194" t="s">
        <v>5081</v>
      </c>
    </row>
    <row r="248">
      <c r="A248" s="33"/>
      <c r="B248" s="33" t="s">
        <v>4751</v>
      </c>
      <c r="C248" s="12" t="s">
        <v>5082</v>
      </c>
      <c r="D248" s="12" t="s">
        <v>16</v>
      </c>
      <c r="E248" s="61" t="s">
        <v>5083</v>
      </c>
      <c r="F248" s="121" t="s">
        <v>5084</v>
      </c>
      <c r="G248" s="118"/>
      <c r="H248" s="192" t="str">
        <f t="shared" ref="H248:K248" si="244">lower(C248)</f>
        <v>cerebralpalsyunclassifiedtext</v>
      </c>
      <c r="I248" s="192" t="str">
        <f t="shared" si="244"/>
        <v>text</v>
      </c>
      <c r="J248" s="192" t="str">
        <f t="shared" si="244"/>
        <v>cerebral palsy - unclassified - describe</v>
      </c>
      <c r="K248" s="192" t="str">
        <f t="shared" si="244"/>
        <v>cerebral_palsy_unclassified_text</v>
      </c>
      <c r="L248" s="193"/>
      <c r="M248" s="193"/>
      <c r="N248" s="193"/>
      <c r="O248" s="193"/>
      <c r="P248" s="194" t="s">
        <v>5085</v>
      </c>
      <c r="Q248" s="194" t="s">
        <v>5086</v>
      </c>
    </row>
    <row r="249">
      <c r="A249" s="33"/>
      <c r="B249" s="33" t="s">
        <v>4751</v>
      </c>
      <c r="C249" s="12" t="s">
        <v>5087</v>
      </c>
      <c r="D249" s="12" t="s">
        <v>40</v>
      </c>
      <c r="E249" s="61" t="s">
        <v>5088</v>
      </c>
      <c r="F249" s="121" t="s">
        <v>5089</v>
      </c>
      <c r="G249" s="118"/>
      <c r="H249" s="192" t="str">
        <f t="shared" ref="H249:K249" si="245">lower(C249)</f>
        <v>cerebralpalsy</v>
      </c>
      <c r="I249" s="192" t="str">
        <f t="shared" si="245"/>
        <v>bool</v>
      </c>
      <c r="J249" s="192" t="str">
        <f t="shared" si="245"/>
        <v>does this child have cerebral palsy?</v>
      </c>
      <c r="K249" s="192" t="str">
        <f t="shared" si="245"/>
        <v>cerebral_palsy</v>
      </c>
      <c r="L249" s="193"/>
      <c r="M249" s="193"/>
      <c r="N249" s="194" t="s">
        <v>8474</v>
      </c>
      <c r="O249" s="193"/>
      <c r="P249" s="194" t="s">
        <v>5090</v>
      </c>
      <c r="Q249" s="194" t="s">
        <v>5091</v>
      </c>
    </row>
    <row r="250">
      <c r="A250" s="33"/>
      <c r="B250" s="33" t="s">
        <v>4751</v>
      </c>
      <c r="C250" s="12" t="s">
        <v>5092</v>
      </c>
      <c r="D250" s="12" t="s">
        <v>5092</v>
      </c>
      <c r="E250" s="61" t="s">
        <v>5093</v>
      </c>
      <c r="F250" s="121" t="s">
        <v>5094</v>
      </c>
      <c r="G250" s="118"/>
      <c r="H250" s="192" t="str">
        <f t="shared" ref="H250:K250" si="246">lower(C250)</f>
        <v>cerebralpalsyclass</v>
      </c>
      <c r="I250" s="192" t="str">
        <f t="shared" si="246"/>
        <v>cerebralpalsyclass</v>
      </c>
      <c r="J250" s="192" t="str">
        <f t="shared" si="246"/>
        <v>classification of cerebral palsy</v>
      </c>
      <c r="K250" s="192" t="str">
        <f t="shared" si="246"/>
        <v>cerebral_palsy_class</v>
      </c>
      <c r="L250" s="193"/>
      <c r="M250" s="193"/>
      <c r="N250" s="193"/>
      <c r="O250" s="193"/>
      <c r="P250" s="194" t="s">
        <v>5095</v>
      </c>
      <c r="Q250" s="194" t="s">
        <v>5096</v>
      </c>
    </row>
    <row r="251">
      <c r="A251" s="33"/>
      <c r="B251" s="33" t="s">
        <v>4751</v>
      </c>
      <c r="C251" s="12" t="s">
        <v>5097</v>
      </c>
      <c r="D251" s="12" t="s">
        <v>40</v>
      </c>
      <c r="E251" s="61" t="s">
        <v>5098</v>
      </c>
      <c r="F251" s="121" t="s">
        <v>5099</v>
      </c>
      <c r="G251" s="118"/>
      <c r="H251" s="192" t="str">
        <f t="shared" ref="H251:K251" si="247">lower(C251)</f>
        <v>abrnomalityaffectingneuroassessment</v>
      </c>
      <c r="I251" s="192" t="str">
        <f t="shared" si="247"/>
        <v>bool</v>
      </c>
      <c r="J251" s="192" t="str">
        <f t="shared" si="247"/>
        <v>congenital and/or acquired abnormalities affecting neurodevelopment assement?</v>
      </c>
      <c r="K251" s="192" t="str">
        <f t="shared" si="247"/>
        <v>abrnomality_affecting_neuro_assessment</v>
      </c>
      <c r="L251" s="193"/>
      <c r="M251" s="193"/>
      <c r="N251" s="193"/>
      <c r="O251" s="193"/>
      <c r="P251" s="194" t="s">
        <v>5100</v>
      </c>
      <c r="Q251" s="194" t="s">
        <v>5100</v>
      </c>
    </row>
    <row r="252">
      <c r="A252" s="33"/>
      <c r="B252" s="33" t="s">
        <v>4751</v>
      </c>
      <c r="C252" s="12" t="s">
        <v>5101</v>
      </c>
      <c r="D252" s="12" t="s">
        <v>16</v>
      </c>
      <c r="E252" s="61" t="s">
        <v>5102</v>
      </c>
      <c r="F252" s="121" t="s">
        <v>5103</v>
      </c>
      <c r="G252" s="118"/>
      <c r="H252" s="192" t="str">
        <f t="shared" ref="H252:K252" si="248">lower(C252)</f>
        <v>abrnomalityaffectingneuroassessmenttext</v>
      </c>
      <c r="I252" s="192" t="str">
        <f t="shared" si="248"/>
        <v>text</v>
      </c>
      <c r="J252" s="192" t="str">
        <f t="shared" si="248"/>
        <v>congenital and/or acquired abnormalities affecting neurodevelopment assement - specify</v>
      </c>
      <c r="K252" s="192" t="str">
        <f t="shared" si="248"/>
        <v>abrnomality_affecting_neuro_assessment_text</v>
      </c>
      <c r="L252" s="193"/>
      <c r="M252" s="193"/>
      <c r="N252" s="193"/>
      <c r="O252" s="193"/>
      <c r="P252" s="194" t="s">
        <v>5104</v>
      </c>
      <c r="Q252" s="194" t="s">
        <v>5104</v>
      </c>
    </row>
    <row r="253">
      <c r="A253" s="33"/>
      <c r="B253" s="33"/>
      <c r="C253" s="118"/>
      <c r="D253" s="118"/>
      <c r="F253" s="121"/>
      <c r="G253" s="118"/>
      <c r="H253" s="192"/>
      <c r="I253" s="192"/>
      <c r="J253" s="192"/>
      <c r="K253" s="192"/>
      <c r="L253" s="193"/>
      <c r="M253" s="193"/>
      <c r="N253" s="193"/>
      <c r="O253" s="193"/>
      <c r="P253" s="193"/>
      <c r="Q253" s="193"/>
    </row>
    <row r="254">
      <c r="A254" s="33"/>
      <c r="B254" s="33" t="s">
        <v>4751</v>
      </c>
      <c r="C254" s="12" t="s">
        <v>8475</v>
      </c>
      <c r="D254" s="118"/>
      <c r="E254" s="61" t="s">
        <v>8476</v>
      </c>
      <c r="F254" s="121" t="s">
        <v>851</v>
      </c>
      <c r="G254" s="118"/>
      <c r="H254" s="192" t="str">
        <f t="shared" ref="H254:K254" si="249">lower(C254)</f>
        <v>developmentaldelay</v>
      </c>
      <c r="I254" s="192" t="str">
        <f t="shared" si="249"/>
        <v/>
      </c>
      <c r="J254" s="192" t="str">
        <f t="shared" si="249"/>
        <v>any developmental delay?</v>
      </c>
      <c r="K254" s="192" t="str">
        <f t="shared" si="249"/>
        <v/>
      </c>
      <c r="L254" s="193"/>
      <c r="M254" s="193"/>
      <c r="N254" s="194" t="s">
        <v>8477</v>
      </c>
      <c r="O254" s="193"/>
      <c r="P254" s="193"/>
      <c r="Q254" s="193"/>
    </row>
    <row r="255">
      <c r="A255" s="33"/>
      <c r="B255" s="33"/>
      <c r="C255" s="12"/>
      <c r="D255" s="12"/>
      <c r="E255" s="61"/>
      <c r="F255" s="121"/>
      <c r="G255" s="118"/>
      <c r="H255" s="192"/>
      <c r="I255" s="192"/>
      <c r="J255" s="192"/>
      <c r="K255" s="192"/>
      <c r="L255" s="193"/>
      <c r="M255" s="193"/>
      <c r="N255" s="193"/>
      <c r="O255" s="193"/>
      <c r="P255" s="194"/>
      <c r="Q255" s="194"/>
    </row>
    <row r="256">
      <c r="A256" s="33" t="s">
        <v>4205</v>
      </c>
      <c r="B256" s="33" t="s">
        <v>4751</v>
      </c>
      <c r="C256" s="12" t="s">
        <v>5105</v>
      </c>
      <c r="D256" s="12" t="s">
        <v>4509</v>
      </c>
      <c r="E256" s="61" t="s">
        <v>5106</v>
      </c>
      <c r="F256" s="121" t="s">
        <v>5107</v>
      </c>
      <c r="G256" s="118"/>
      <c r="H256" s="192" t="str">
        <f t="shared" ref="H256:K256" si="250">lower(C256)</f>
        <v>examwhere</v>
      </c>
      <c r="I256" s="192" t="str">
        <f t="shared" si="250"/>
        <v>interviewlocation</v>
      </c>
      <c r="J256" s="192" t="str">
        <f t="shared" si="250"/>
        <v>where exam completing</v>
      </c>
      <c r="K256" s="192" t="str">
        <f t="shared" si="250"/>
        <v>exam_where</v>
      </c>
      <c r="L256" s="193"/>
      <c r="M256" s="193"/>
      <c r="N256" s="193"/>
      <c r="O256" s="193"/>
      <c r="P256" s="194" t="s">
        <v>5108</v>
      </c>
      <c r="Q256" s="194" t="s">
        <v>5108</v>
      </c>
    </row>
    <row r="257">
      <c r="A257" s="33"/>
      <c r="B257" s="33" t="s">
        <v>4751</v>
      </c>
      <c r="C257" s="12" t="s">
        <v>5109</v>
      </c>
      <c r="D257" s="12" t="s">
        <v>16</v>
      </c>
      <c r="E257" s="61" t="s">
        <v>5110</v>
      </c>
      <c r="F257" s="121" t="s">
        <v>5111</v>
      </c>
      <c r="G257" s="118"/>
      <c r="H257" s="192" t="str">
        <f t="shared" ref="H257:K257" si="251">lower(C257)</f>
        <v>examwhereothertext</v>
      </c>
      <c r="I257" s="192" t="str">
        <f t="shared" si="251"/>
        <v>text</v>
      </c>
      <c r="J257" s="192" t="str">
        <f t="shared" si="251"/>
        <v>where exam completing - other -specify</v>
      </c>
      <c r="K257" s="192" t="str">
        <f t="shared" si="251"/>
        <v>exam_where_other_text</v>
      </c>
      <c r="L257" s="193"/>
      <c r="M257" s="193"/>
      <c r="N257" s="193"/>
      <c r="O257" s="193"/>
      <c r="P257" s="345" t="s">
        <v>5112</v>
      </c>
      <c r="Q257" s="194" t="s">
        <v>5112</v>
      </c>
    </row>
    <row r="258">
      <c r="A258" s="33"/>
      <c r="B258" s="33" t="s">
        <v>4751</v>
      </c>
      <c r="C258" s="12" t="s">
        <v>5113</v>
      </c>
      <c r="D258" s="12" t="s">
        <v>5113</v>
      </c>
      <c r="E258" s="61" t="s">
        <v>5114</v>
      </c>
      <c r="F258" s="121" t="s">
        <v>5115</v>
      </c>
      <c r="G258" s="118"/>
      <c r="H258" s="192" t="str">
        <f t="shared" ref="H258:K258" si="252">lower(C258)</f>
        <v>examquality</v>
      </c>
      <c r="I258" s="192" t="str">
        <f t="shared" si="252"/>
        <v>examquality</v>
      </c>
      <c r="J258" s="192" t="str">
        <f t="shared" si="252"/>
        <v>quality of the exam</v>
      </c>
      <c r="K258" s="192" t="str">
        <f t="shared" si="252"/>
        <v>exam_quality</v>
      </c>
      <c r="L258" s="193"/>
      <c r="M258" s="193"/>
      <c r="N258" s="193"/>
      <c r="O258" s="193"/>
      <c r="P258" s="194" t="s">
        <v>5116</v>
      </c>
      <c r="Q258" s="194" t="s">
        <v>5116</v>
      </c>
    </row>
    <row r="259">
      <c r="A259" s="33"/>
      <c r="B259" s="33" t="s">
        <v>4751</v>
      </c>
      <c r="C259" s="12" t="s">
        <v>5117</v>
      </c>
      <c r="D259" s="12" t="s">
        <v>5117</v>
      </c>
      <c r="E259" s="61" t="s">
        <v>5118</v>
      </c>
      <c r="F259" s="121" t="s">
        <v>5119</v>
      </c>
      <c r="G259" s="118"/>
      <c r="H259" s="192" t="str">
        <f t="shared" ref="H259:K259" si="253">lower(C259)</f>
        <v>examfactoraffecting</v>
      </c>
      <c r="I259" s="192" t="str">
        <f t="shared" si="253"/>
        <v>examfactoraffecting</v>
      </c>
      <c r="J259" s="192" t="str">
        <f t="shared" si="253"/>
        <v>the factor affecting the exam</v>
      </c>
      <c r="K259" s="192" t="str">
        <f t="shared" si="253"/>
        <v>exam_factor_affecting</v>
      </c>
      <c r="L259" s="193"/>
      <c r="M259" s="193"/>
      <c r="N259" s="193"/>
      <c r="O259" s="193"/>
      <c r="P259" s="194" t="s">
        <v>5120</v>
      </c>
      <c r="Q259" s="194" t="s">
        <v>5120</v>
      </c>
    </row>
    <row r="260">
      <c r="A260" s="33"/>
      <c r="B260" s="33" t="s">
        <v>4751</v>
      </c>
      <c r="C260" s="12" t="s">
        <v>5121</v>
      </c>
      <c r="D260" s="12" t="s">
        <v>16</v>
      </c>
      <c r="E260" s="61" t="s">
        <v>5122</v>
      </c>
      <c r="F260" s="121" t="s">
        <v>5123</v>
      </c>
      <c r="G260" s="118"/>
      <c r="H260" s="192" t="str">
        <f t="shared" ref="H260:K260" si="254">lower(C260)</f>
        <v>examfactoraffectingtext</v>
      </c>
      <c r="I260" s="192" t="str">
        <f t="shared" si="254"/>
        <v>text</v>
      </c>
      <c r="J260" s="192" t="str">
        <f t="shared" si="254"/>
        <v>the factor affecting the exam - specify</v>
      </c>
      <c r="K260" s="192" t="str">
        <f t="shared" si="254"/>
        <v>exam_factor_affecting_text</v>
      </c>
      <c r="L260" s="193"/>
      <c r="M260" s="193"/>
      <c r="N260" s="193"/>
      <c r="O260" s="193"/>
      <c r="P260" s="194" t="s">
        <v>5124</v>
      </c>
      <c r="Q260" s="194" t="s">
        <v>5124</v>
      </c>
    </row>
    <row r="261">
      <c r="A261" s="33"/>
      <c r="B261" s="33" t="s">
        <v>4751</v>
      </c>
      <c r="C261" s="12" t="s">
        <v>5125</v>
      </c>
      <c r="D261" s="12" t="s">
        <v>26</v>
      </c>
      <c r="E261" s="61" t="s">
        <v>5126</v>
      </c>
      <c r="F261" s="121" t="s">
        <v>5127</v>
      </c>
      <c r="G261" s="118"/>
      <c r="H261" s="192" t="str">
        <f t="shared" ref="H261:K261" si="255">lower(C261)</f>
        <v>examcompletedate</v>
      </c>
      <c r="I261" s="192" t="str">
        <f t="shared" si="255"/>
        <v>date</v>
      </c>
      <c r="J261" s="192" t="str">
        <f t="shared" si="255"/>
        <v>date complete</v>
      </c>
      <c r="K261" s="192" t="str">
        <f t="shared" si="255"/>
        <v>exam_complete_date</v>
      </c>
      <c r="L261" s="193"/>
      <c r="M261" s="193"/>
      <c r="N261" s="193"/>
      <c r="O261" s="193"/>
      <c r="P261" s="194" t="s">
        <v>5128</v>
      </c>
      <c r="Q261" s="194" t="s">
        <v>5128</v>
      </c>
    </row>
    <row r="262">
      <c r="A262" s="33"/>
      <c r="B262" s="117"/>
      <c r="C262" s="118"/>
      <c r="D262" s="12"/>
      <c r="E262" s="61" t="s">
        <v>8478</v>
      </c>
      <c r="F262" s="121" t="s">
        <v>851</v>
      </c>
      <c r="G262" s="118"/>
      <c r="H262" s="192" t="str">
        <f t="shared" ref="H262:K262" si="256">lower(C262)</f>
        <v/>
      </c>
      <c r="I262" s="192" t="str">
        <f t="shared" si="256"/>
        <v/>
      </c>
      <c r="J262" s="192" t="str">
        <f t="shared" si="256"/>
        <v>initials completing the form</v>
      </c>
      <c r="K262" s="192" t="str">
        <f t="shared" si="256"/>
        <v/>
      </c>
      <c r="L262" s="193"/>
      <c r="M262" s="193"/>
      <c r="N262" s="193"/>
      <c r="O262" s="193"/>
      <c r="P262" s="194" t="s">
        <v>8479</v>
      </c>
      <c r="Q262" s="194" t="s">
        <v>8479</v>
      </c>
    </row>
    <row r="263">
      <c r="A263" s="33" t="s">
        <v>4205</v>
      </c>
      <c r="B263" s="33" t="s">
        <v>5129</v>
      </c>
      <c r="C263" s="12" t="s">
        <v>5130</v>
      </c>
      <c r="D263" s="12" t="s">
        <v>5130</v>
      </c>
      <c r="E263" s="61" t="s">
        <v>5131</v>
      </c>
      <c r="F263" s="121" t="s">
        <v>5132</v>
      </c>
      <c r="G263" s="118"/>
      <c r="H263" s="192" t="str">
        <f t="shared" ref="H263:K263" si="257">lower(C263)</f>
        <v>grossmotorfunctionlevel</v>
      </c>
      <c r="I263" s="192" t="str">
        <f t="shared" si="257"/>
        <v>grossmotorfunctionlevel</v>
      </c>
      <c r="J263" s="192" t="str">
        <f t="shared" si="257"/>
        <v>gross motor function level</v>
      </c>
      <c r="K263" s="192" t="str">
        <f t="shared" si="257"/>
        <v>gross_motor_function_level</v>
      </c>
      <c r="L263" s="61" t="s">
        <v>8480</v>
      </c>
      <c r="M263" s="193"/>
      <c r="N263" s="193"/>
      <c r="O263" s="193"/>
      <c r="P263" s="194" t="s">
        <v>5133</v>
      </c>
      <c r="Q263" s="194" t="s">
        <v>5133</v>
      </c>
    </row>
    <row r="264">
      <c r="A264" s="33"/>
      <c r="B264" s="33"/>
      <c r="C264" s="118"/>
      <c r="D264" s="118"/>
      <c r="F264" s="121" t="s">
        <v>851</v>
      </c>
      <c r="G264" s="118"/>
      <c r="H264" s="192" t="str">
        <f t="shared" ref="H264:K264" si="258">lower(C264)</f>
        <v/>
      </c>
      <c r="I264" s="192" t="str">
        <f t="shared" si="258"/>
        <v/>
      </c>
      <c r="J264" s="192" t="str">
        <f t="shared" si="258"/>
        <v/>
      </c>
      <c r="K264" s="192" t="str">
        <f t="shared" si="258"/>
        <v/>
      </c>
      <c r="L264" s="193"/>
      <c r="M264" s="193"/>
      <c r="N264" s="193"/>
      <c r="O264" s="193"/>
      <c r="P264" s="193"/>
      <c r="Q264" s="193"/>
    </row>
    <row r="265">
      <c r="A265" s="33" t="s">
        <v>4205</v>
      </c>
      <c r="B265" s="33" t="s">
        <v>5134</v>
      </c>
      <c r="C265" s="12" t="s">
        <v>5135</v>
      </c>
      <c r="D265" s="12" t="s">
        <v>40</v>
      </c>
      <c r="E265" s="61" t="s">
        <v>5136</v>
      </c>
      <c r="F265" s="121" t="s">
        <v>5137</v>
      </c>
      <c r="G265" s="118"/>
      <c r="H265" s="192" t="str">
        <f t="shared" ref="H265:K265" si="259">lower(C265)</f>
        <v>bayleyiiicognitivesubtest</v>
      </c>
      <c r="I265" s="192" t="str">
        <f t="shared" si="259"/>
        <v>bool</v>
      </c>
      <c r="J265" s="192" t="str">
        <f t="shared" si="259"/>
        <v>cognitive subtest?</v>
      </c>
      <c r="K265" s="192" t="str">
        <f t="shared" si="259"/>
        <v>bayleyiii_cognitive_subtest</v>
      </c>
      <c r="L265" s="193"/>
      <c r="M265" s="193"/>
      <c r="N265" s="193"/>
      <c r="O265" s="193"/>
      <c r="P265" s="194" t="s">
        <v>5138</v>
      </c>
      <c r="Q265" s="194" t="s">
        <v>5138</v>
      </c>
    </row>
    <row r="266">
      <c r="A266" s="33"/>
      <c r="B266" s="33" t="s">
        <v>5134</v>
      </c>
      <c r="C266" s="12" t="s">
        <v>5139</v>
      </c>
      <c r="D266" s="12" t="s">
        <v>5140</v>
      </c>
      <c r="E266" s="61" t="s">
        <v>5141</v>
      </c>
      <c r="F266" s="121" t="s">
        <v>5142</v>
      </c>
      <c r="G266" s="118"/>
      <c r="H266" s="192" t="str">
        <f t="shared" ref="H266:K266" si="260">lower(C266)</f>
        <v>bayleyiiireasonnosuccesscognitivesubtest</v>
      </c>
      <c r="I266" s="192" t="str">
        <f t="shared" si="260"/>
        <v>bayleyiiireasonnosuccess</v>
      </c>
      <c r="J266" s="192" t="str">
        <f t="shared" si="260"/>
        <v>reason not success cognitive subtest</v>
      </c>
      <c r="K266" s="192" t="str">
        <f t="shared" si="260"/>
        <v>bayleyiii_reason_no_success_cognitive_subtest</v>
      </c>
      <c r="L266" s="193"/>
      <c r="M266" s="193"/>
      <c r="N266" s="193"/>
      <c r="O266" s="193"/>
      <c r="P266" s="194" t="s">
        <v>5143</v>
      </c>
      <c r="Q266" s="194" t="s">
        <v>5143</v>
      </c>
    </row>
    <row r="267">
      <c r="A267" s="33"/>
      <c r="B267" s="33" t="s">
        <v>5134</v>
      </c>
      <c r="C267" s="12" t="s">
        <v>5144</v>
      </c>
      <c r="D267" s="12" t="s">
        <v>16</v>
      </c>
      <c r="E267" s="61" t="s">
        <v>5145</v>
      </c>
      <c r="F267" s="121" t="s">
        <v>5146</v>
      </c>
      <c r="G267" s="118"/>
      <c r="H267" s="192" t="str">
        <f t="shared" ref="H267:K267" si="261">lower(C267)</f>
        <v>bayleyiiireasonnosuccesscognitivesubtesttext</v>
      </c>
      <c r="I267" s="192" t="str">
        <f t="shared" si="261"/>
        <v>text</v>
      </c>
      <c r="J267" s="192" t="str">
        <f t="shared" si="261"/>
        <v>reason not success cognitive subtest - specify</v>
      </c>
      <c r="K267" s="192" t="str">
        <f t="shared" si="261"/>
        <v>bayleyiii_reason_no_success_cognitive_subtest_text</v>
      </c>
      <c r="L267" s="193"/>
      <c r="M267" s="193"/>
      <c r="N267" s="193"/>
      <c r="O267" s="193"/>
      <c r="P267" s="194" t="s">
        <v>5147</v>
      </c>
      <c r="Q267" s="194" t="s">
        <v>5147</v>
      </c>
    </row>
    <row r="268">
      <c r="A268" s="33"/>
      <c r="B268" s="33" t="s">
        <v>5134</v>
      </c>
      <c r="C268" s="12" t="s">
        <v>5148</v>
      </c>
      <c r="D268" s="12" t="s">
        <v>40</v>
      </c>
      <c r="E268" s="61" t="s">
        <v>5149</v>
      </c>
      <c r="F268" s="121" t="s">
        <v>5150</v>
      </c>
      <c r="G268" s="118"/>
      <c r="H268" s="192" t="str">
        <f t="shared" ref="H268:K268" si="262">lower(C268)</f>
        <v>bayleyiiilanguagereceptivesubtest</v>
      </c>
      <c r="I268" s="192" t="str">
        <f t="shared" si="262"/>
        <v>bool</v>
      </c>
      <c r="J268" s="192" t="str">
        <f t="shared" si="262"/>
        <v>language (receptive communication) subtest?</v>
      </c>
      <c r="K268" s="192" t="str">
        <f t="shared" si="262"/>
        <v>bayleyiii_language_receptive_subtest</v>
      </c>
      <c r="L268" s="193"/>
      <c r="M268" s="193"/>
      <c r="N268" s="193"/>
      <c r="O268" s="193"/>
      <c r="P268" s="194" t="s">
        <v>5151</v>
      </c>
      <c r="Q268" s="194" t="s">
        <v>5151</v>
      </c>
    </row>
    <row r="269">
      <c r="A269" s="33"/>
      <c r="B269" s="33" t="s">
        <v>5134</v>
      </c>
      <c r="C269" s="12" t="s">
        <v>5152</v>
      </c>
      <c r="D269" s="12" t="s">
        <v>5140</v>
      </c>
      <c r="E269" s="61" t="s">
        <v>5153</v>
      </c>
      <c r="F269" s="121" t="s">
        <v>5154</v>
      </c>
      <c r="G269" s="118"/>
      <c r="H269" s="192" t="str">
        <f t="shared" ref="H269:K269" si="263">lower(C269)</f>
        <v>bayleyiiireasonnosuccesslanguagereceptivesubtest</v>
      </c>
      <c r="I269" s="192" t="str">
        <f t="shared" si="263"/>
        <v>bayleyiiireasonnosuccess</v>
      </c>
      <c r="J269" s="192" t="str">
        <f t="shared" si="263"/>
        <v>reason not success language (receptive communication) subtest</v>
      </c>
      <c r="K269" s="192" t="str">
        <f t="shared" si="263"/>
        <v>bayleyiii_reason_no_success_language_receptive_subtest</v>
      </c>
      <c r="L269" s="193"/>
      <c r="M269" s="193"/>
      <c r="N269" s="193"/>
      <c r="O269" s="193"/>
      <c r="P269" s="194" t="s">
        <v>5155</v>
      </c>
      <c r="Q269" s="194" t="s">
        <v>5155</v>
      </c>
    </row>
    <row r="270">
      <c r="A270" s="33"/>
      <c r="B270" s="33" t="s">
        <v>5134</v>
      </c>
      <c r="C270" s="347" t="s">
        <v>5156</v>
      </c>
      <c r="D270" s="12" t="s">
        <v>16</v>
      </c>
      <c r="E270" s="61" t="s">
        <v>5157</v>
      </c>
      <c r="F270" s="121" t="s">
        <v>5158</v>
      </c>
      <c r="G270" s="118"/>
      <c r="H270" s="192" t="str">
        <f t="shared" ref="H270:K270" si="264">lower(C270)</f>
        <v>bayleyiiireasonnosuccesslanguagereceptivesubtesttext</v>
      </c>
      <c r="I270" s="192" t="str">
        <f t="shared" si="264"/>
        <v>text</v>
      </c>
      <c r="J270" s="192" t="str">
        <f t="shared" si="264"/>
        <v>reason not success language (receptive communication) subtest - specify</v>
      </c>
      <c r="K270" s="192" t="str">
        <f t="shared" si="264"/>
        <v>bayleyiii_reason_no_success_language_receptive_subtest_text</v>
      </c>
      <c r="L270" s="193"/>
      <c r="M270" s="193"/>
      <c r="N270" s="193"/>
      <c r="O270" s="193"/>
      <c r="P270" s="194" t="s">
        <v>5159</v>
      </c>
      <c r="Q270" s="194" t="s">
        <v>5159</v>
      </c>
    </row>
    <row r="271">
      <c r="A271" s="33"/>
      <c r="B271" s="33" t="s">
        <v>5134</v>
      </c>
      <c r="C271" s="12" t="s">
        <v>5160</v>
      </c>
      <c r="D271" s="12" t="s">
        <v>40</v>
      </c>
      <c r="E271" s="61" t="s">
        <v>5161</v>
      </c>
      <c r="F271" s="121" t="s">
        <v>5162</v>
      </c>
      <c r="G271" s="118"/>
      <c r="H271" s="192" t="str">
        <f t="shared" ref="H271:K271" si="265">lower(C271)</f>
        <v>bayleyiiilanguageexpressivesubtest</v>
      </c>
      <c r="I271" s="192" t="str">
        <f t="shared" si="265"/>
        <v>bool</v>
      </c>
      <c r="J271" s="192" t="str">
        <f t="shared" si="265"/>
        <v>language (expressive communication) subtest?</v>
      </c>
      <c r="K271" s="192" t="str">
        <f t="shared" si="265"/>
        <v>bayleyiii_language_expressive_subtest</v>
      </c>
      <c r="L271" s="193"/>
      <c r="M271" s="193"/>
      <c r="N271" s="193"/>
      <c r="O271" s="193"/>
      <c r="P271" s="194" t="s">
        <v>5163</v>
      </c>
      <c r="Q271" s="194" t="s">
        <v>5163</v>
      </c>
    </row>
    <row r="272">
      <c r="A272" s="33"/>
      <c r="B272" s="33" t="s">
        <v>5134</v>
      </c>
      <c r="C272" s="12" t="s">
        <v>5164</v>
      </c>
      <c r="D272" s="12" t="s">
        <v>5140</v>
      </c>
      <c r="E272" s="61" t="s">
        <v>5165</v>
      </c>
      <c r="F272" s="121" t="s">
        <v>5166</v>
      </c>
      <c r="G272" s="118"/>
      <c r="H272" s="192" t="str">
        <f t="shared" ref="H272:K272" si="266">lower(C272)</f>
        <v>bayleyiiireasonnosuccesslanguageexpressivesubtest</v>
      </c>
      <c r="I272" s="192" t="str">
        <f t="shared" si="266"/>
        <v>bayleyiiireasonnosuccess</v>
      </c>
      <c r="J272" s="192" t="str">
        <f t="shared" si="266"/>
        <v>reason not success language (expressive communication) subtest</v>
      </c>
      <c r="K272" s="192" t="str">
        <f t="shared" si="266"/>
        <v>bayleyiii_reason_no_success_language_expressive_subtest</v>
      </c>
      <c r="L272" s="193"/>
      <c r="M272" s="193"/>
      <c r="N272" s="193"/>
      <c r="O272" s="193"/>
      <c r="P272" s="194" t="s">
        <v>5167</v>
      </c>
      <c r="Q272" s="194" t="s">
        <v>5167</v>
      </c>
    </row>
    <row r="273">
      <c r="A273" s="33"/>
      <c r="B273" s="33" t="s">
        <v>5134</v>
      </c>
      <c r="C273" s="12" t="s">
        <v>5168</v>
      </c>
      <c r="D273" s="12" t="s">
        <v>16</v>
      </c>
      <c r="E273" s="61" t="s">
        <v>5169</v>
      </c>
      <c r="F273" s="121" t="s">
        <v>5170</v>
      </c>
      <c r="G273" s="118"/>
      <c r="H273" s="192" t="str">
        <f t="shared" ref="H273:K273" si="267">lower(C273)</f>
        <v>bayleyiiireasonnosuccesslanguageexpressivesubtesttext</v>
      </c>
      <c r="I273" s="192" t="str">
        <f t="shared" si="267"/>
        <v>text</v>
      </c>
      <c r="J273" s="192" t="str">
        <f t="shared" si="267"/>
        <v>reason not success language (expressive communication) subtest - specify</v>
      </c>
      <c r="K273" s="192" t="str">
        <f t="shared" si="267"/>
        <v>bayleyiii_reason_no_success_language_expressive_subtest_text</v>
      </c>
      <c r="L273" s="193"/>
      <c r="M273" s="193"/>
      <c r="N273" s="193"/>
      <c r="O273" s="193"/>
      <c r="P273" s="194" t="s">
        <v>5171</v>
      </c>
      <c r="Q273" s="194" t="s">
        <v>5171</v>
      </c>
    </row>
    <row r="274">
      <c r="A274" s="33"/>
      <c r="B274" s="33" t="s">
        <v>5134</v>
      </c>
      <c r="C274" s="12" t="s">
        <v>5172</v>
      </c>
      <c r="D274" s="12" t="s">
        <v>40</v>
      </c>
      <c r="E274" s="61" t="s">
        <v>5173</v>
      </c>
      <c r="F274" s="121" t="s">
        <v>5174</v>
      </c>
      <c r="G274" s="118"/>
      <c r="H274" s="192" t="str">
        <f t="shared" ref="H274:K274" si="268">lower(C274)</f>
        <v>bayleyiiimotorfinesubtest</v>
      </c>
      <c r="I274" s="192" t="str">
        <f t="shared" si="268"/>
        <v>bool</v>
      </c>
      <c r="J274" s="192" t="str">
        <f t="shared" si="268"/>
        <v>motor (fine) subtest</v>
      </c>
      <c r="K274" s="192" t="str">
        <f t="shared" si="268"/>
        <v>bayleyiii_motor_fine_subtest</v>
      </c>
      <c r="L274" s="193"/>
      <c r="M274" s="193"/>
      <c r="N274" s="193"/>
      <c r="O274" s="193"/>
      <c r="P274" s="194" t="s">
        <v>5175</v>
      </c>
      <c r="Q274" s="194" t="s">
        <v>5175</v>
      </c>
    </row>
    <row r="275">
      <c r="A275" s="33"/>
      <c r="B275" s="33" t="s">
        <v>5134</v>
      </c>
      <c r="C275" s="12" t="s">
        <v>5176</v>
      </c>
      <c r="D275" s="12" t="s">
        <v>5140</v>
      </c>
      <c r="E275" s="61" t="s">
        <v>5177</v>
      </c>
      <c r="F275" s="121" t="s">
        <v>5178</v>
      </c>
      <c r="G275" s="118"/>
      <c r="H275" s="192" t="str">
        <f t="shared" ref="H275:K275" si="269">lower(C275)</f>
        <v>bayleyiiireasonnosuccessmotorfinesubtest</v>
      </c>
      <c r="I275" s="192" t="str">
        <f t="shared" si="269"/>
        <v>bayleyiiireasonnosuccess</v>
      </c>
      <c r="J275" s="192" t="str">
        <f t="shared" si="269"/>
        <v>reason not success motor (fine) subtest</v>
      </c>
      <c r="K275" s="192" t="str">
        <f t="shared" si="269"/>
        <v>bayleyiii_reason_no_success_motor_fine_subtest</v>
      </c>
      <c r="L275" s="193"/>
      <c r="M275" s="193"/>
      <c r="N275" s="193"/>
      <c r="O275" s="193"/>
      <c r="P275" s="194" t="s">
        <v>5179</v>
      </c>
      <c r="Q275" s="194" t="s">
        <v>5179</v>
      </c>
    </row>
    <row r="276">
      <c r="A276" s="33"/>
      <c r="B276" s="33" t="s">
        <v>5134</v>
      </c>
      <c r="C276" s="12" t="s">
        <v>5180</v>
      </c>
      <c r="D276" s="12" t="s">
        <v>16</v>
      </c>
      <c r="E276" s="61" t="s">
        <v>5181</v>
      </c>
      <c r="F276" s="121" t="s">
        <v>5182</v>
      </c>
      <c r="G276" s="118"/>
      <c r="H276" s="192" t="str">
        <f t="shared" ref="H276:K276" si="270">lower(C276)</f>
        <v>bayleyiiireasonnosuccessmotorfinesubtesttext</v>
      </c>
      <c r="I276" s="192" t="str">
        <f t="shared" si="270"/>
        <v>text</v>
      </c>
      <c r="J276" s="192" t="str">
        <f t="shared" si="270"/>
        <v>reason not success motor (fine) subtest - specify</v>
      </c>
      <c r="K276" s="192" t="str">
        <f t="shared" si="270"/>
        <v>bayleyiii_reason_no_success_motor_fine_subtest_text</v>
      </c>
      <c r="L276" s="193"/>
      <c r="M276" s="193"/>
      <c r="N276" s="193"/>
      <c r="O276" s="193"/>
      <c r="P276" s="194" t="s">
        <v>5183</v>
      </c>
      <c r="Q276" s="194" t="s">
        <v>5183</v>
      </c>
    </row>
    <row r="277">
      <c r="A277" s="33"/>
      <c r="B277" s="33" t="s">
        <v>5134</v>
      </c>
      <c r="C277" s="12" t="s">
        <v>5184</v>
      </c>
      <c r="D277" s="12" t="s">
        <v>40</v>
      </c>
      <c r="E277" s="61" t="s">
        <v>5185</v>
      </c>
      <c r="F277" s="121" t="s">
        <v>5186</v>
      </c>
      <c r="G277" s="118"/>
      <c r="H277" s="192" t="str">
        <f t="shared" ref="H277:K277" si="271">lower(C277)</f>
        <v>bayleyiiimotorgrosssubtest</v>
      </c>
      <c r="I277" s="192" t="str">
        <f t="shared" si="271"/>
        <v>bool</v>
      </c>
      <c r="J277" s="192" t="str">
        <f t="shared" si="271"/>
        <v>motor (gross) subtest</v>
      </c>
      <c r="K277" s="192" t="str">
        <f t="shared" si="271"/>
        <v>bayleyiii_motor_gross_subtest</v>
      </c>
      <c r="L277" s="193"/>
      <c r="M277" s="193"/>
      <c r="N277" s="193"/>
      <c r="O277" s="193"/>
      <c r="P277" s="194" t="s">
        <v>5187</v>
      </c>
      <c r="Q277" s="194" t="s">
        <v>5187</v>
      </c>
    </row>
    <row r="278">
      <c r="A278" s="33"/>
      <c r="B278" s="33" t="s">
        <v>5134</v>
      </c>
      <c r="C278" s="12" t="s">
        <v>5188</v>
      </c>
      <c r="D278" s="12" t="s">
        <v>5140</v>
      </c>
      <c r="E278" s="61" t="s">
        <v>5189</v>
      </c>
      <c r="F278" s="121" t="s">
        <v>5190</v>
      </c>
      <c r="G278" s="118"/>
      <c r="H278" s="192" t="str">
        <f t="shared" ref="H278:K278" si="272">lower(C278)</f>
        <v>bayleyiiireasonnosuccessmotorgrosssubtest</v>
      </c>
      <c r="I278" s="192" t="str">
        <f t="shared" si="272"/>
        <v>bayleyiiireasonnosuccess</v>
      </c>
      <c r="J278" s="192" t="str">
        <f t="shared" si="272"/>
        <v>reason not success motor (gross) subtest</v>
      </c>
      <c r="K278" s="192" t="str">
        <f t="shared" si="272"/>
        <v>bayleyiii_reason_no_success_motor_gross_subtest</v>
      </c>
      <c r="L278" s="193"/>
      <c r="M278" s="193"/>
      <c r="N278" s="193"/>
      <c r="O278" s="193"/>
      <c r="P278" s="194" t="s">
        <v>5191</v>
      </c>
      <c r="Q278" s="194" t="s">
        <v>5191</v>
      </c>
    </row>
    <row r="279">
      <c r="A279" s="33"/>
      <c r="B279" s="33" t="s">
        <v>5134</v>
      </c>
      <c r="C279" s="12" t="s">
        <v>5192</v>
      </c>
      <c r="D279" s="12" t="s">
        <v>16</v>
      </c>
      <c r="E279" s="61" t="s">
        <v>5193</v>
      </c>
      <c r="F279" s="121" t="s">
        <v>5194</v>
      </c>
      <c r="G279" s="118"/>
      <c r="H279" s="192" t="str">
        <f t="shared" ref="H279:K279" si="273">lower(C279)</f>
        <v>bayleyiiireasonnosuccessmotorgrosssubtesttext</v>
      </c>
      <c r="I279" s="192" t="str">
        <f t="shared" si="273"/>
        <v>text</v>
      </c>
      <c r="J279" s="192" t="str">
        <f t="shared" si="273"/>
        <v>reason not success motor (gross) subtest - specify</v>
      </c>
      <c r="K279" s="192" t="str">
        <f t="shared" si="273"/>
        <v>bayleyiii_reason_no_success_motor_gross_subtest_text</v>
      </c>
      <c r="L279" s="193"/>
      <c r="M279" s="193"/>
      <c r="N279" s="193"/>
      <c r="O279" s="193"/>
      <c r="P279" s="194" t="s">
        <v>5195</v>
      </c>
      <c r="Q279" s="194" t="s">
        <v>5195</v>
      </c>
    </row>
    <row r="280">
      <c r="A280" s="33"/>
      <c r="B280" s="33" t="s">
        <v>5134</v>
      </c>
      <c r="C280" s="12" t="s">
        <v>5196</v>
      </c>
      <c r="D280" s="12" t="s">
        <v>31</v>
      </c>
      <c r="E280" s="61" t="s">
        <v>5197</v>
      </c>
      <c r="F280" s="121" t="s">
        <v>5198</v>
      </c>
      <c r="G280" s="118"/>
      <c r="H280" s="192" t="str">
        <f t="shared" ref="H280:K280" si="274">lower(C280)</f>
        <v>bayleyiiiadjustedageforcognitivetest</v>
      </c>
      <c r="I280" s="192" t="str">
        <f t="shared" si="274"/>
        <v>int</v>
      </c>
      <c r="J280" s="192" t="str">
        <f t="shared" si="274"/>
        <v>adjusted age for cognitive test</v>
      </c>
      <c r="K280" s="192" t="str">
        <f t="shared" si="274"/>
        <v>bayleyiii_adjusted_age_for_cognitive_test</v>
      </c>
      <c r="L280" s="193"/>
      <c r="M280" s="193"/>
      <c r="N280" s="193"/>
      <c r="O280" s="193"/>
      <c r="P280" s="194" t="s">
        <v>5199</v>
      </c>
      <c r="Q280" s="194" t="s">
        <v>5199</v>
      </c>
    </row>
    <row r="281">
      <c r="A281" s="33"/>
      <c r="B281" s="33" t="s">
        <v>5134</v>
      </c>
      <c r="C281" s="12" t="s">
        <v>5200</v>
      </c>
      <c r="D281" s="12" t="s">
        <v>31</v>
      </c>
      <c r="E281" s="61" t="s">
        <v>5201</v>
      </c>
      <c r="F281" s="121" t="s">
        <v>5202</v>
      </c>
      <c r="G281" s="118"/>
      <c r="H281" s="192" t="str">
        <f t="shared" ref="H281:K281" si="275">lower(C281)</f>
        <v>bayleyiiiadjustedageforreceptivecommunication</v>
      </c>
      <c r="I281" s="192" t="str">
        <f t="shared" si="275"/>
        <v>int</v>
      </c>
      <c r="J281" s="192" t="str">
        <f t="shared" si="275"/>
        <v>adjusted age for receptive communication</v>
      </c>
      <c r="K281" s="192" t="str">
        <f t="shared" si="275"/>
        <v>bayleyiii_adjusted_age_for_receptive_communication</v>
      </c>
      <c r="L281" s="193"/>
      <c r="M281" s="193"/>
      <c r="N281" s="193"/>
      <c r="O281" s="193"/>
      <c r="P281" s="194" t="s">
        <v>5203</v>
      </c>
      <c r="Q281" s="194" t="s">
        <v>5203</v>
      </c>
    </row>
    <row r="282">
      <c r="A282" s="33"/>
      <c r="B282" s="33" t="s">
        <v>5134</v>
      </c>
      <c r="C282" s="12" t="s">
        <v>5204</v>
      </c>
      <c r="D282" s="12" t="s">
        <v>31</v>
      </c>
      <c r="E282" s="61" t="s">
        <v>5205</v>
      </c>
      <c r="F282" s="121" t="s">
        <v>5206</v>
      </c>
      <c r="G282" s="118"/>
      <c r="H282" s="192" t="str">
        <f t="shared" ref="H282:K282" si="276">lower(C282)</f>
        <v>bayleyiiiadjustedageforexpressivecommunication</v>
      </c>
      <c r="I282" s="192" t="str">
        <f t="shared" si="276"/>
        <v>int</v>
      </c>
      <c r="J282" s="192" t="str">
        <f t="shared" si="276"/>
        <v>adjusted age for expressive communication</v>
      </c>
      <c r="K282" s="192" t="str">
        <f t="shared" si="276"/>
        <v>bayleyiii_adjusted_age_for_expressive_communication</v>
      </c>
      <c r="L282" s="193"/>
      <c r="M282" s="193"/>
      <c r="N282" s="193"/>
      <c r="O282" s="193"/>
      <c r="P282" s="194" t="s">
        <v>5207</v>
      </c>
      <c r="Q282" s="194" t="s">
        <v>5207</v>
      </c>
    </row>
    <row r="283">
      <c r="A283" s="33"/>
      <c r="B283" s="33" t="s">
        <v>5134</v>
      </c>
      <c r="C283" s="12" t="s">
        <v>5208</v>
      </c>
      <c r="D283" s="12" t="s">
        <v>31</v>
      </c>
      <c r="E283" s="61" t="s">
        <v>5209</v>
      </c>
      <c r="F283" s="121" t="s">
        <v>5210</v>
      </c>
      <c r="G283" s="118"/>
      <c r="H283" s="192" t="str">
        <f t="shared" ref="H283:K283" si="277">lower(C283)</f>
        <v>bayleyiiiadjustedageformotorfinesubtest</v>
      </c>
      <c r="I283" s="192" t="str">
        <f t="shared" si="277"/>
        <v>int</v>
      </c>
      <c r="J283" s="192" t="str">
        <f t="shared" si="277"/>
        <v>adjusted age for motor (fine) subtest</v>
      </c>
      <c r="K283" s="192" t="str">
        <f t="shared" si="277"/>
        <v>bayleyiii_adjusted_age_for_motor_fine_subtest</v>
      </c>
      <c r="L283" s="193"/>
      <c r="M283" s="193"/>
      <c r="N283" s="193"/>
      <c r="O283" s="193"/>
      <c r="P283" s="194" t="s">
        <v>5211</v>
      </c>
      <c r="Q283" s="194" t="s">
        <v>5211</v>
      </c>
    </row>
    <row r="284">
      <c r="A284" s="33"/>
      <c r="B284" s="33" t="s">
        <v>5134</v>
      </c>
      <c r="C284" s="12" t="s">
        <v>5212</v>
      </c>
      <c r="D284" s="12" t="s">
        <v>31</v>
      </c>
      <c r="E284" s="61" t="s">
        <v>5213</v>
      </c>
      <c r="F284" s="121" t="s">
        <v>5214</v>
      </c>
      <c r="G284" s="118"/>
      <c r="H284" s="192" t="str">
        <f t="shared" ref="H284:K284" si="278">lower(C284)</f>
        <v>bayleyiiiadjustedageformotorgrosssubtest</v>
      </c>
      <c r="I284" s="192" t="str">
        <f t="shared" si="278"/>
        <v>int</v>
      </c>
      <c r="J284" s="192" t="str">
        <f t="shared" si="278"/>
        <v>adjusted age for motor (gross) subtest</v>
      </c>
      <c r="K284" s="192" t="str">
        <f t="shared" si="278"/>
        <v>bayleyiii_adjusted_age_for_motor_gross_subtest</v>
      </c>
      <c r="L284" s="193"/>
      <c r="M284" s="193"/>
      <c r="N284" s="193"/>
      <c r="O284" s="193"/>
      <c r="P284" s="194" t="s">
        <v>5215</v>
      </c>
      <c r="Q284" s="194" t="s">
        <v>5215</v>
      </c>
    </row>
    <row r="285">
      <c r="A285" s="33"/>
      <c r="B285" s="33"/>
      <c r="C285" s="118"/>
      <c r="D285" s="118"/>
      <c r="F285" s="121" t="s">
        <v>851</v>
      </c>
      <c r="G285" s="118"/>
      <c r="H285" s="192" t="str">
        <f t="shared" ref="H285:K285" si="279">lower(C285)</f>
        <v/>
      </c>
      <c r="I285" s="192" t="str">
        <f t="shared" si="279"/>
        <v/>
      </c>
      <c r="J285" s="192" t="str">
        <f t="shared" si="279"/>
        <v/>
      </c>
      <c r="K285" s="192" t="str">
        <f t="shared" si="279"/>
        <v/>
      </c>
      <c r="L285" s="193"/>
      <c r="M285" s="193"/>
      <c r="N285" s="193"/>
      <c r="O285" s="193"/>
      <c r="P285" s="193"/>
      <c r="Q285" s="193"/>
    </row>
    <row r="286">
      <c r="A286" s="33" t="s">
        <v>4205</v>
      </c>
      <c r="B286" s="33" t="s">
        <v>5134</v>
      </c>
      <c r="C286" s="12" t="s">
        <v>5216</v>
      </c>
      <c r="D286" s="12" t="s">
        <v>31</v>
      </c>
      <c r="E286" s="61" t="s">
        <v>5217</v>
      </c>
      <c r="F286" s="121" t="s">
        <v>5218</v>
      </c>
      <c r="G286" s="118"/>
      <c r="H286" s="192" t="str">
        <f t="shared" ref="H286:K286" si="280">lower(C286)</f>
        <v>bayleyiiicognitiveraw</v>
      </c>
      <c r="I286" s="192" t="str">
        <f t="shared" si="280"/>
        <v>int</v>
      </c>
      <c r="J286" s="192" t="str">
        <f t="shared" si="280"/>
        <v>cognitive - raw</v>
      </c>
      <c r="K286" s="192" t="str">
        <f t="shared" si="280"/>
        <v>bayleyiii_cognitive_raw</v>
      </c>
      <c r="L286" s="193"/>
      <c r="M286" s="193"/>
      <c r="N286" s="194" t="s">
        <v>8481</v>
      </c>
      <c r="O286" s="193"/>
      <c r="P286" s="194" t="s">
        <v>5219</v>
      </c>
      <c r="Q286" s="194" t="s">
        <v>5219</v>
      </c>
    </row>
    <row r="287">
      <c r="A287" s="33"/>
      <c r="B287" s="33" t="s">
        <v>5134</v>
      </c>
      <c r="C287" s="12" t="s">
        <v>5220</v>
      </c>
      <c r="D287" s="12" t="s">
        <v>31</v>
      </c>
      <c r="E287" s="61" t="s">
        <v>5221</v>
      </c>
      <c r="F287" s="121" t="s">
        <v>5222</v>
      </c>
      <c r="G287" s="118"/>
      <c r="H287" s="192" t="str">
        <f t="shared" ref="H287:K287" si="281">lower(C287)</f>
        <v>bayleyiiicognitivescale</v>
      </c>
      <c r="I287" s="192" t="str">
        <f t="shared" si="281"/>
        <v>int</v>
      </c>
      <c r="J287" s="192" t="str">
        <f t="shared" si="281"/>
        <v>cognitive - scaled score</v>
      </c>
      <c r="K287" s="192" t="str">
        <f t="shared" si="281"/>
        <v>bayleyiii_cognitive_scale</v>
      </c>
      <c r="L287" s="193"/>
      <c r="M287" s="193"/>
      <c r="N287" s="194" t="s">
        <v>8482</v>
      </c>
      <c r="O287" s="193"/>
      <c r="P287" s="194" t="s">
        <v>5223</v>
      </c>
      <c r="Q287" s="194" t="s">
        <v>5223</v>
      </c>
    </row>
    <row r="288">
      <c r="A288" s="33"/>
      <c r="B288" s="33" t="s">
        <v>5134</v>
      </c>
      <c r="C288" s="12" t="s">
        <v>5224</v>
      </c>
      <c r="D288" s="12" t="s">
        <v>31</v>
      </c>
      <c r="E288" s="61" t="s">
        <v>5225</v>
      </c>
      <c r="F288" s="121" t="s">
        <v>5226</v>
      </c>
      <c r="G288" s="118"/>
      <c r="H288" s="192" t="str">
        <f t="shared" ref="H288:K288" si="282">lower(C288)</f>
        <v>bayleyiiicognitivecomposite</v>
      </c>
      <c r="I288" s="192" t="str">
        <f t="shared" si="282"/>
        <v>int</v>
      </c>
      <c r="J288" s="192" t="str">
        <f t="shared" si="282"/>
        <v>cognitive composite score</v>
      </c>
      <c r="K288" s="192" t="str">
        <f t="shared" si="282"/>
        <v>bayleyiii_cognitive_composite</v>
      </c>
      <c r="L288" s="193"/>
      <c r="M288" s="193"/>
      <c r="N288" s="194" t="s">
        <v>8483</v>
      </c>
      <c r="O288" s="193"/>
      <c r="P288" s="194" t="s">
        <v>5227</v>
      </c>
      <c r="Q288" s="194" t="s">
        <v>5227</v>
      </c>
    </row>
    <row r="289">
      <c r="A289" s="33"/>
      <c r="B289" s="33" t="s">
        <v>5134</v>
      </c>
      <c r="C289" s="12" t="s">
        <v>8484</v>
      </c>
      <c r="D289" s="12"/>
      <c r="E289" s="61"/>
      <c r="F289" s="121"/>
      <c r="G289" s="118"/>
      <c r="H289" s="192"/>
      <c r="I289" s="192"/>
      <c r="J289" s="192"/>
      <c r="K289" s="192"/>
      <c r="L289" s="193"/>
      <c r="M289" s="193"/>
      <c r="N289" s="194" t="s">
        <v>8485</v>
      </c>
      <c r="O289" s="193"/>
      <c r="P289" s="194"/>
      <c r="Q289" s="194"/>
    </row>
    <row r="290">
      <c r="A290" s="33"/>
      <c r="B290" s="33" t="s">
        <v>5134</v>
      </c>
      <c r="C290" s="12" t="s">
        <v>5228</v>
      </c>
      <c r="D290" s="12" t="s">
        <v>31</v>
      </c>
      <c r="E290" s="61" t="s">
        <v>5229</v>
      </c>
      <c r="F290" s="121" t="s">
        <v>5230</v>
      </c>
      <c r="G290" s="118"/>
      <c r="H290" s="192" t="str">
        <f t="shared" ref="H290:K290" si="283">lower(C290)</f>
        <v>bayleyiiireceptiveraw</v>
      </c>
      <c r="I290" s="192" t="str">
        <f t="shared" si="283"/>
        <v>int</v>
      </c>
      <c r="J290" s="192" t="str">
        <f t="shared" si="283"/>
        <v>receptive - raw</v>
      </c>
      <c r="K290" s="192" t="str">
        <f t="shared" si="283"/>
        <v>bayleyiii_receptive_raw</v>
      </c>
      <c r="L290" s="193"/>
      <c r="M290" s="193"/>
      <c r="N290" s="194" t="s">
        <v>8486</v>
      </c>
      <c r="O290" s="193"/>
      <c r="P290" s="194" t="s">
        <v>5231</v>
      </c>
      <c r="Q290" s="194" t="s">
        <v>5231</v>
      </c>
    </row>
    <row r="291">
      <c r="A291" s="33"/>
      <c r="B291" s="33" t="s">
        <v>5134</v>
      </c>
      <c r="C291" s="12" t="s">
        <v>5232</v>
      </c>
      <c r="D291" s="12" t="s">
        <v>31</v>
      </c>
      <c r="E291" s="61" t="s">
        <v>5233</v>
      </c>
      <c r="F291" s="121" t="s">
        <v>5234</v>
      </c>
      <c r="G291" s="118"/>
      <c r="H291" s="192" t="str">
        <f t="shared" ref="H291:K291" si="284">lower(C291)</f>
        <v>bayleyiiireceptivescale</v>
      </c>
      <c r="I291" s="192" t="str">
        <f t="shared" si="284"/>
        <v>int</v>
      </c>
      <c r="J291" s="192" t="str">
        <f t="shared" si="284"/>
        <v>receptive - scaled score</v>
      </c>
      <c r="K291" s="192" t="str">
        <f t="shared" si="284"/>
        <v>bayleyiii_receptive_scale</v>
      </c>
      <c r="L291" s="193"/>
      <c r="M291" s="193"/>
      <c r="N291" s="193"/>
      <c r="O291" s="193"/>
      <c r="P291" s="194" t="s">
        <v>5235</v>
      </c>
      <c r="Q291" s="194" t="s">
        <v>5235</v>
      </c>
    </row>
    <row r="292">
      <c r="A292" s="33"/>
      <c r="B292" s="33" t="s">
        <v>5134</v>
      </c>
      <c r="C292" s="12" t="s">
        <v>5236</v>
      </c>
      <c r="D292" s="12" t="s">
        <v>31</v>
      </c>
      <c r="E292" s="61" t="s">
        <v>5237</v>
      </c>
      <c r="F292" s="121" t="s">
        <v>5238</v>
      </c>
      <c r="G292" s="118"/>
      <c r="H292" s="192" t="str">
        <f t="shared" ref="H292:K292" si="285">lower(C292)</f>
        <v>bayleyiiiexpressiveraw</v>
      </c>
      <c r="I292" s="192" t="str">
        <f t="shared" si="285"/>
        <v>int</v>
      </c>
      <c r="J292" s="192" t="str">
        <f t="shared" si="285"/>
        <v>expressive - raw</v>
      </c>
      <c r="K292" s="192" t="str">
        <f t="shared" si="285"/>
        <v>bayleyiii_expressive_raw</v>
      </c>
      <c r="L292" s="193"/>
      <c r="M292" s="193"/>
      <c r="N292" s="194" t="s">
        <v>8487</v>
      </c>
      <c r="O292" s="193"/>
      <c r="P292" s="194" t="s">
        <v>5239</v>
      </c>
      <c r="Q292" s="194" t="s">
        <v>5239</v>
      </c>
    </row>
    <row r="293">
      <c r="A293" s="33"/>
      <c r="B293" s="33" t="s">
        <v>5134</v>
      </c>
      <c r="C293" s="347" t="s">
        <v>5240</v>
      </c>
      <c r="D293" s="12" t="s">
        <v>31</v>
      </c>
      <c r="E293" s="61" t="s">
        <v>5241</v>
      </c>
      <c r="F293" s="121" t="s">
        <v>5242</v>
      </c>
      <c r="G293" s="118"/>
      <c r="H293" s="192" t="str">
        <f t="shared" ref="H293:K293" si="286">lower(C293)</f>
        <v>bayleyiiiexpressivescale</v>
      </c>
      <c r="I293" s="192" t="str">
        <f t="shared" si="286"/>
        <v>int</v>
      </c>
      <c r="J293" s="192" t="str">
        <f t="shared" si="286"/>
        <v>expressive - scaled score</v>
      </c>
      <c r="K293" s="192" t="str">
        <f t="shared" si="286"/>
        <v>bayleyiii_expressive_scale</v>
      </c>
      <c r="L293" s="193"/>
      <c r="M293" s="193"/>
      <c r="N293" s="193"/>
      <c r="O293" s="193"/>
      <c r="P293" s="194" t="s">
        <v>5243</v>
      </c>
      <c r="Q293" s="194" t="s">
        <v>5243</v>
      </c>
    </row>
    <row r="294">
      <c r="A294" s="33"/>
      <c r="B294" s="33" t="s">
        <v>5134</v>
      </c>
      <c r="C294" s="12" t="s">
        <v>5244</v>
      </c>
      <c r="D294" s="12" t="s">
        <v>31</v>
      </c>
      <c r="E294" s="61" t="s">
        <v>5245</v>
      </c>
      <c r="F294" s="121" t="s">
        <v>5246</v>
      </c>
      <c r="G294" s="118"/>
      <c r="H294" s="192" t="str">
        <f t="shared" ref="H294:K294" si="287">lower(C294)</f>
        <v>bayleyiiisumlanguagescore</v>
      </c>
      <c r="I294" s="192" t="str">
        <f t="shared" si="287"/>
        <v>int</v>
      </c>
      <c r="J294" s="192" t="str">
        <f t="shared" si="287"/>
        <v>summed language score</v>
      </c>
      <c r="K294" s="192" t="str">
        <f t="shared" si="287"/>
        <v>bayleyiii_sum_language_score</v>
      </c>
      <c r="L294" s="193"/>
      <c r="M294" s="193"/>
      <c r="N294" s="194" t="s">
        <v>8488</v>
      </c>
      <c r="O294" s="193"/>
      <c r="P294" s="194" t="s">
        <v>5247</v>
      </c>
      <c r="Q294" s="194" t="s">
        <v>5247</v>
      </c>
    </row>
    <row r="295">
      <c r="A295" s="33"/>
      <c r="B295" s="33" t="s">
        <v>5134</v>
      </c>
      <c r="C295" s="12" t="s">
        <v>5248</v>
      </c>
      <c r="D295" s="12" t="s">
        <v>31</v>
      </c>
      <c r="E295" s="61" t="s">
        <v>5249</v>
      </c>
      <c r="F295" s="121" t="s">
        <v>5250</v>
      </c>
      <c r="G295" s="118"/>
      <c r="H295" s="192" t="str">
        <f t="shared" ref="H295:K295" si="288">lower(C295)</f>
        <v>bayleyiiilanguagecomposite</v>
      </c>
      <c r="I295" s="192" t="str">
        <f t="shared" si="288"/>
        <v>int</v>
      </c>
      <c r="J295" s="192" t="str">
        <f t="shared" si="288"/>
        <v>language composite</v>
      </c>
      <c r="K295" s="192" t="str">
        <f t="shared" si="288"/>
        <v>bayleyiii_language_composite</v>
      </c>
      <c r="L295" s="193"/>
      <c r="M295" s="193"/>
      <c r="N295" s="194" t="s">
        <v>8489</v>
      </c>
      <c r="O295" s="193"/>
      <c r="P295" s="194" t="s">
        <v>5251</v>
      </c>
      <c r="Q295" s="194" t="s">
        <v>5251</v>
      </c>
    </row>
    <row r="296">
      <c r="A296" s="33"/>
      <c r="B296" s="33" t="s">
        <v>5134</v>
      </c>
      <c r="C296" s="12" t="s">
        <v>8490</v>
      </c>
      <c r="D296" s="12"/>
      <c r="E296" s="61"/>
      <c r="F296" s="121"/>
      <c r="G296" s="118"/>
      <c r="H296" s="192"/>
      <c r="I296" s="192"/>
      <c r="J296" s="192"/>
      <c r="K296" s="192"/>
      <c r="L296" s="193"/>
      <c r="M296" s="193"/>
      <c r="N296" s="194" t="s">
        <v>8491</v>
      </c>
      <c r="O296" s="193"/>
      <c r="P296" s="194"/>
      <c r="Q296" s="194"/>
    </row>
    <row r="297">
      <c r="A297" s="33"/>
      <c r="B297" s="33" t="s">
        <v>5134</v>
      </c>
      <c r="C297" s="12" t="s">
        <v>5252</v>
      </c>
      <c r="D297" s="12" t="s">
        <v>31</v>
      </c>
      <c r="E297" s="61" t="s">
        <v>5253</v>
      </c>
      <c r="F297" s="121" t="s">
        <v>5254</v>
      </c>
      <c r="G297" s="118"/>
      <c r="H297" s="192" t="str">
        <f t="shared" ref="H297:K297" si="289">lower(C297)</f>
        <v>bayleyiiimotorfineraw</v>
      </c>
      <c r="I297" s="192" t="str">
        <f t="shared" si="289"/>
        <v>int</v>
      </c>
      <c r="J297" s="192" t="str">
        <f t="shared" si="289"/>
        <v>fine motor - raw</v>
      </c>
      <c r="K297" s="192" t="str">
        <f t="shared" si="289"/>
        <v>bayleyiii_motor_fine_raw</v>
      </c>
      <c r="L297" s="193"/>
      <c r="M297" s="193"/>
      <c r="N297" s="194" t="s">
        <v>8492</v>
      </c>
      <c r="O297" s="193"/>
      <c r="P297" s="194" t="s">
        <v>5255</v>
      </c>
      <c r="Q297" s="194" t="s">
        <v>5255</v>
      </c>
    </row>
    <row r="298">
      <c r="A298" s="33"/>
      <c r="B298" s="33" t="s">
        <v>5134</v>
      </c>
      <c r="C298" s="12" t="s">
        <v>5256</v>
      </c>
      <c r="D298" s="12" t="s">
        <v>31</v>
      </c>
      <c r="E298" s="61" t="s">
        <v>5257</v>
      </c>
      <c r="F298" s="121" t="s">
        <v>5258</v>
      </c>
      <c r="G298" s="118"/>
      <c r="H298" s="192" t="str">
        <f t="shared" ref="H298:K298" si="290">lower(C298)</f>
        <v>bayleyiiimotorfinescale</v>
      </c>
      <c r="I298" s="192" t="str">
        <f t="shared" si="290"/>
        <v>int</v>
      </c>
      <c r="J298" s="192" t="str">
        <f t="shared" si="290"/>
        <v>fine motor - scaled score</v>
      </c>
      <c r="K298" s="192" t="str">
        <f t="shared" si="290"/>
        <v>bayleyiii_motor_fine_scale</v>
      </c>
      <c r="L298" s="193"/>
      <c r="M298" s="193"/>
      <c r="N298" s="194" t="s">
        <v>8493</v>
      </c>
      <c r="O298" s="193"/>
      <c r="P298" s="194" t="s">
        <v>5259</v>
      </c>
      <c r="Q298" s="194" t="s">
        <v>5259</v>
      </c>
    </row>
    <row r="299">
      <c r="A299" s="33"/>
      <c r="B299" s="33" t="s">
        <v>5134</v>
      </c>
      <c r="C299" s="12" t="s">
        <v>5260</v>
      </c>
      <c r="D299" s="12" t="s">
        <v>31</v>
      </c>
      <c r="E299" s="61" t="s">
        <v>5261</v>
      </c>
      <c r="F299" s="121" t="s">
        <v>5262</v>
      </c>
      <c r="G299" s="118"/>
      <c r="H299" s="192" t="str">
        <f t="shared" ref="H299:K299" si="291">lower(C299)</f>
        <v>bayleyiiimotorgrossraw</v>
      </c>
      <c r="I299" s="192" t="str">
        <f t="shared" si="291"/>
        <v>int</v>
      </c>
      <c r="J299" s="192" t="str">
        <f t="shared" si="291"/>
        <v>gross motor - raw</v>
      </c>
      <c r="K299" s="192" t="str">
        <f t="shared" si="291"/>
        <v>bayleyiii_motor_gross_raw</v>
      </c>
      <c r="L299" s="193"/>
      <c r="M299" s="193"/>
      <c r="N299" s="194" t="s">
        <v>8494</v>
      </c>
      <c r="O299" s="193"/>
      <c r="P299" s="194" t="s">
        <v>5263</v>
      </c>
      <c r="Q299" s="194" t="s">
        <v>5263</v>
      </c>
    </row>
    <row r="300">
      <c r="A300" s="33"/>
      <c r="B300" s="33" t="s">
        <v>5134</v>
      </c>
      <c r="C300" s="12" t="s">
        <v>5264</v>
      </c>
      <c r="D300" s="12" t="s">
        <v>31</v>
      </c>
      <c r="E300" s="61" t="s">
        <v>5265</v>
      </c>
      <c r="F300" s="121" t="s">
        <v>5266</v>
      </c>
      <c r="G300" s="118"/>
      <c r="H300" s="192" t="str">
        <f t="shared" ref="H300:K300" si="292">lower(C300)</f>
        <v>bayleyiiimotorgrossscale</v>
      </c>
      <c r="I300" s="192" t="str">
        <f t="shared" si="292"/>
        <v>int</v>
      </c>
      <c r="J300" s="192" t="str">
        <f t="shared" si="292"/>
        <v>gross motor - scaled score</v>
      </c>
      <c r="K300" s="192" t="str">
        <f t="shared" si="292"/>
        <v>bayleyiii_motor_gross_scale</v>
      </c>
      <c r="L300" s="193"/>
      <c r="M300" s="193"/>
      <c r="N300" s="194" t="s">
        <v>8495</v>
      </c>
      <c r="O300" s="193"/>
      <c r="P300" s="194" t="s">
        <v>5267</v>
      </c>
      <c r="Q300" s="194" t="s">
        <v>5267</v>
      </c>
    </row>
    <row r="301">
      <c r="A301" s="33"/>
      <c r="B301" s="33" t="s">
        <v>5134</v>
      </c>
      <c r="C301" s="12" t="s">
        <v>5268</v>
      </c>
      <c r="D301" s="12" t="s">
        <v>31</v>
      </c>
      <c r="E301" s="61" t="s">
        <v>5269</v>
      </c>
      <c r="F301" s="121" t="s">
        <v>5270</v>
      </c>
      <c r="G301" s="118"/>
      <c r="H301" s="192" t="str">
        <f t="shared" ref="H301:K301" si="293">lower(C301)</f>
        <v>bayleyiiisummotorscore</v>
      </c>
      <c r="I301" s="192" t="str">
        <f t="shared" si="293"/>
        <v>int</v>
      </c>
      <c r="J301" s="192" t="str">
        <f t="shared" si="293"/>
        <v>summed motor score</v>
      </c>
      <c r="K301" s="192" t="str">
        <f t="shared" si="293"/>
        <v>bayleyiii_sum_motor_score</v>
      </c>
      <c r="L301" s="193"/>
      <c r="M301" s="193"/>
      <c r="N301" s="194" t="s">
        <v>8496</v>
      </c>
      <c r="O301" s="193"/>
      <c r="P301" s="194" t="s">
        <v>5271</v>
      </c>
      <c r="Q301" s="194" t="s">
        <v>5271</v>
      </c>
    </row>
    <row r="302">
      <c r="A302" s="33"/>
      <c r="B302" s="33" t="s">
        <v>5134</v>
      </c>
      <c r="C302" s="12" t="s">
        <v>5272</v>
      </c>
      <c r="D302" s="12" t="s">
        <v>31</v>
      </c>
      <c r="E302" s="61" t="s">
        <v>5273</v>
      </c>
      <c r="F302" s="121" t="s">
        <v>5274</v>
      </c>
      <c r="G302" s="118"/>
      <c r="H302" s="192" t="str">
        <f t="shared" ref="H302:K302" si="294">lower(C302)</f>
        <v>bayleyiiimotorcomposite</v>
      </c>
      <c r="I302" s="192" t="str">
        <f t="shared" si="294"/>
        <v>int</v>
      </c>
      <c r="J302" s="192" t="str">
        <f t="shared" si="294"/>
        <v>motor composite</v>
      </c>
      <c r="K302" s="192" t="str">
        <f t="shared" si="294"/>
        <v>bayleyiii_motor_composite</v>
      </c>
      <c r="L302" s="193"/>
      <c r="M302" s="193"/>
      <c r="N302" s="194" t="s">
        <v>8497</v>
      </c>
      <c r="O302" s="193"/>
      <c r="P302" s="194" t="s">
        <v>5275</v>
      </c>
      <c r="Q302" s="194" t="s">
        <v>5275</v>
      </c>
    </row>
    <row r="303">
      <c r="A303" s="33"/>
      <c r="B303" s="33" t="s">
        <v>5134</v>
      </c>
      <c r="C303" s="12" t="s">
        <v>8498</v>
      </c>
      <c r="D303" s="12"/>
      <c r="E303" s="61"/>
      <c r="F303" s="121"/>
      <c r="G303" s="118"/>
      <c r="H303" s="192"/>
      <c r="I303" s="192"/>
      <c r="J303" s="192"/>
      <c r="K303" s="192"/>
      <c r="L303" s="193"/>
      <c r="M303" s="193"/>
      <c r="N303" s="194" t="s">
        <v>8499</v>
      </c>
      <c r="O303" s="193"/>
      <c r="P303" s="194"/>
      <c r="Q303" s="194"/>
    </row>
    <row r="304">
      <c r="A304" s="33"/>
      <c r="B304" s="33" t="s">
        <v>5134</v>
      </c>
      <c r="C304" s="12" t="s">
        <v>5276</v>
      </c>
      <c r="D304" s="12" t="s">
        <v>40</v>
      </c>
      <c r="E304" s="61" t="s">
        <v>5277</v>
      </c>
      <c r="F304" s="121" t="s">
        <v>5278</v>
      </c>
      <c r="G304" s="118"/>
      <c r="H304" s="192" t="str">
        <f t="shared" ref="H304:K304" si="295">lower(C304)</f>
        <v>bayleyiiiinenglish</v>
      </c>
      <c r="I304" s="192" t="str">
        <f t="shared" si="295"/>
        <v>bool</v>
      </c>
      <c r="J304" s="192" t="str">
        <f t="shared" si="295"/>
        <v>was the bayley exam conducted in english?</v>
      </c>
      <c r="K304" s="192" t="str">
        <f t="shared" si="295"/>
        <v>bayleyiii_in_english</v>
      </c>
      <c r="L304" s="193"/>
      <c r="M304" s="193"/>
      <c r="N304" s="193"/>
      <c r="O304" s="193"/>
      <c r="P304" s="194" t="s">
        <v>5279</v>
      </c>
      <c r="Q304" s="194" t="s">
        <v>5279</v>
      </c>
    </row>
    <row r="305">
      <c r="A305" s="33"/>
      <c r="B305" s="33" t="s">
        <v>5134</v>
      </c>
      <c r="C305" s="12" t="s">
        <v>5280</v>
      </c>
      <c r="D305" s="12" t="s">
        <v>40</v>
      </c>
      <c r="E305" s="61" t="s">
        <v>5281</v>
      </c>
      <c r="F305" s="121" t="s">
        <v>8500</v>
      </c>
      <c r="G305" s="118"/>
      <c r="H305" s="192" t="str">
        <f t="shared" ref="H305:K305" si="296">lower(C305)</f>
        <v>bayleyiiirequireinterpreter</v>
      </c>
      <c r="I305" s="192" t="str">
        <f t="shared" si="296"/>
        <v>bool</v>
      </c>
      <c r="J305" s="192" t="str">
        <f t="shared" si="296"/>
        <v>was an interpreter required?</v>
      </c>
      <c r="K305" s="192" t="str">
        <f t="shared" si="296"/>
        <v>is_bayleyiii_require_interpreter</v>
      </c>
      <c r="L305" s="193"/>
      <c r="M305" s="193"/>
      <c r="N305" s="193"/>
      <c r="O305" s="193"/>
      <c r="P305" s="194" t="s">
        <v>5283</v>
      </c>
      <c r="Q305" s="194" t="s">
        <v>5283</v>
      </c>
    </row>
    <row r="306">
      <c r="A306" s="33"/>
      <c r="B306" s="33" t="s">
        <v>5134</v>
      </c>
      <c r="C306" s="12" t="s">
        <v>5284</v>
      </c>
      <c r="D306" s="12" t="s">
        <v>40</v>
      </c>
      <c r="E306" s="61" t="s">
        <v>5285</v>
      </c>
      <c r="F306" s="121" t="s">
        <v>8501</v>
      </c>
      <c r="G306" s="118"/>
      <c r="H306" s="192" t="str">
        <f t="shared" ref="H306:K306" si="297">lower(C306)</f>
        <v>bayleyiiiadministratormaskedtochildhistory</v>
      </c>
      <c r="I306" s="192" t="str">
        <f t="shared" si="297"/>
        <v>bool</v>
      </c>
      <c r="J306" s="192" t="str">
        <f t="shared" si="297"/>
        <v>was the bayley administrator masked to the child's medical history?</v>
      </c>
      <c r="K306" s="192" t="str">
        <f t="shared" si="297"/>
        <v>is_bayleyiii_administrator_masked_to_child_history</v>
      </c>
      <c r="L306" s="193"/>
      <c r="M306" s="193"/>
      <c r="N306" s="193"/>
      <c r="O306" s="193"/>
      <c r="P306" s="194" t="s">
        <v>5287</v>
      </c>
      <c r="Q306" s="194" t="s">
        <v>5287</v>
      </c>
    </row>
    <row r="307">
      <c r="A307" s="33"/>
      <c r="B307" s="33"/>
      <c r="C307" s="118"/>
      <c r="D307" s="118"/>
      <c r="F307" s="121" t="s">
        <v>851</v>
      </c>
      <c r="G307" s="118"/>
      <c r="H307" s="192" t="str">
        <f t="shared" ref="H307:K307" si="298">lower(C307)</f>
        <v/>
      </c>
      <c r="I307" s="192" t="str">
        <f t="shared" si="298"/>
        <v/>
      </c>
      <c r="J307" s="192" t="str">
        <f t="shared" si="298"/>
        <v/>
      </c>
      <c r="K307" s="192" t="str">
        <f t="shared" si="298"/>
        <v/>
      </c>
      <c r="L307" s="193"/>
      <c r="M307" s="193"/>
      <c r="N307" s="193"/>
      <c r="O307" s="193"/>
      <c r="P307" s="193"/>
      <c r="Q307" s="193"/>
    </row>
    <row r="308">
      <c r="A308" s="33" t="s">
        <v>4205</v>
      </c>
      <c r="B308" s="33" t="s">
        <v>5134</v>
      </c>
      <c r="C308" s="12" t="s">
        <v>5288</v>
      </c>
      <c r="D308" s="12" t="s">
        <v>4509</v>
      </c>
      <c r="E308" s="61" t="s">
        <v>5289</v>
      </c>
      <c r="F308" s="121" t="s">
        <v>5290</v>
      </c>
      <c r="G308" s="118"/>
      <c r="H308" s="192" t="str">
        <f t="shared" ref="H308:K308" si="299">lower(C308)</f>
        <v>bayleyiiiwhere</v>
      </c>
      <c r="I308" s="192" t="str">
        <f t="shared" si="299"/>
        <v>interviewlocation</v>
      </c>
      <c r="J308" s="192" t="str">
        <f t="shared" si="299"/>
        <v>where</v>
      </c>
      <c r="K308" s="192" t="str">
        <f t="shared" si="299"/>
        <v>bayleyiii_where</v>
      </c>
      <c r="L308" s="193"/>
      <c r="M308" s="193"/>
      <c r="N308" s="193"/>
      <c r="O308" s="193"/>
      <c r="P308" s="194" t="s">
        <v>5291</v>
      </c>
      <c r="Q308" s="194" t="s">
        <v>5291</v>
      </c>
    </row>
    <row r="309">
      <c r="A309" s="33"/>
      <c r="B309" s="33" t="s">
        <v>5134</v>
      </c>
      <c r="C309" s="12" t="s">
        <v>5292</v>
      </c>
      <c r="D309" s="12" t="s">
        <v>26</v>
      </c>
      <c r="E309" s="61" t="s">
        <v>26</v>
      </c>
      <c r="F309" s="121" t="s">
        <v>5293</v>
      </c>
      <c r="G309" s="118"/>
      <c r="H309" s="192" t="str">
        <f t="shared" ref="H309:K309" si="300">lower(C309)</f>
        <v>bayleyiiidate</v>
      </c>
      <c r="I309" s="192" t="str">
        <f t="shared" si="300"/>
        <v>date</v>
      </c>
      <c r="J309" s="192" t="str">
        <f t="shared" si="300"/>
        <v>date</v>
      </c>
      <c r="K309" s="192" t="str">
        <f t="shared" si="300"/>
        <v>bayleyiii_date</v>
      </c>
      <c r="L309" s="193"/>
      <c r="M309" s="194" t="s">
        <v>8502</v>
      </c>
      <c r="N309" s="193"/>
      <c r="O309" s="193"/>
      <c r="P309" s="194" t="s">
        <v>5294</v>
      </c>
      <c r="Q309" s="194" t="s">
        <v>5294</v>
      </c>
    </row>
    <row r="310">
      <c r="A310" s="33"/>
      <c r="B310" s="33" t="s">
        <v>5134</v>
      </c>
      <c r="C310" s="12" t="s">
        <v>8503</v>
      </c>
      <c r="D310" s="118"/>
      <c r="E310" s="61"/>
      <c r="F310" s="121"/>
      <c r="G310" s="118"/>
      <c r="H310" s="192"/>
      <c r="I310" s="192"/>
      <c r="J310" s="192"/>
      <c r="K310" s="192"/>
      <c r="L310" s="193"/>
      <c r="M310" s="193"/>
      <c r="N310" s="194" t="s">
        <v>8504</v>
      </c>
      <c r="O310" s="193"/>
      <c r="P310" s="194"/>
      <c r="Q310" s="194"/>
    </row>
    <row r="311">
      <c r="A311" s="33"/>
      <c r="B311" s="117"/>
      <c r="C311" s="118"/>
      <c r="D311" s="118"/>
      <c r="E311" s="61" t="s">
        <v>8505</v>
      </c>
      <c r="F311" s="121" t="s">
        <v>851</v>
      </c>
      <c r="G311" s="118"/>
      <c r="H311" s="192" t="str">
        <f t="shared" ref="H311:K311" si="301">lower(C311)</f>
        <v/>
      </c>
      <c r="I311" s="192" t="str">
        <f t="shared" si="301"/>
        <v/>
      </c>
      <c r="J311" s="192" t="str">
        <f t="shared" si="301"/>
        <v>initials</v>
      </c>
      <c r="K311" s="192" t="str">
        <f t="shared" si="301"/>
        <v/>
      </c>
      <c r="L311" s="193"/>
      <c r="M311" s="193"/>
      <c r="N311" s="193"/>
      <c r="O311" s="193"/>
      <c r="P311" s="194"/>
      <c r="Q311" s="194"/>
    </row>
    <row r="312">
      <c r="A312" s="33"/>
      <c r="B312" s="33"/>
      <c r="C312" s="118"/>
      <c r="D312" s="118"/>
      <c r="F312" s="121" t="s">
        <v>851</v>
      </c>
      <c r="G312" s="118"/>
      <c r="H312" s="192" t="str">
        <f t="shared" ref="H312:K312" si="302">lower(C312)</f>
        <v/>
      </c>
      <c r="I312" s="192" t="str">
        <f t="shared" si="302"/>
        <v/>
      </c>
      <c r="J312" s="192" t="str">
        <f t="shared" si="302"/>
        <v/>
      </c>
      <c r="K312" s="192" t="str">
        <f t="shared" si="302"/>
        <v/>
      </c>
      <c r="L312" s="193"/>
      <c r="M312" s="193"/>
      <c r="N312" s="193"/>
      <c r="O312" s="193"/>
      <c r="P312" s="193"/>
      <c r="Q312" s="193"/>
    </row>
    <row r="313">
      <c r="A313" s="33" t="s">
        <v>4205</v>
      </c>
      <c r="B313" s="33" t="s">
        <v>5295</v>
      </c>
      <c r="C313" s="12" t="s">
        <v>3437</v>
      </c>
      <c r="D313" s="12" t="s">
        <v>26</v>
      </c>
      <c r="E313" s="61" t="s">
        <v>5296</v>
      </c>
      <c r="F313" s="121" t="s">
        <v>3439</v>
      </c>
      <c r="G313" s="118"/>
      <c r="H313" s="192" t="str">
        <f t="shared" ref="H313:K313" si="303">lower(C313)</f>
        <v>dischargedate</v>
      </c>
      <c r="I313" s="192" t="str">
        <f t="shared" si="303"/>
        <v>date</v>
      </c>
      <c r="J313" s="192" t="str">
        <f t="shared" si="303"/>
        <v>date of discharge</v>
      </c>
      <c r="K313" s="192" t="str">
        <f t="shared" si="303"/>
        <v>discharge_date</v>
      </c>
      <c r="L313" s="193"/>
      <c r="M313" s="193"/>
      <c r="N313" s="193"/>
      <c r="O313" s="193"/>
      <c r="P313" s="194" t="s">
        <v>5297</v>
      </c>
      <c r="Q313" s="194" t="s">
        <v>5297</v>
      </c>
    </row>
    <row r="314">
      <c r="A314" s="33"/>
      <c r="B314" s="33" t="s">
        <v>5295</v>
      </c>
      <c r="C314" s="12" t="s">
        <v>5298</v>
      </c>
      <c r="D314" s="12" t="s">
        <v>26</v>
      </c>
      <c r="E314" s="61" t="s">
        <v>5299</v>
      </c>
      <c r="F314" s="121" t="s">
        <v>5298</v>
      </c>
      <c r="G314" s="118"/>
      <c r="H314" s="192" t="str">
        <f t="shared" ref="H314:K314" si="304">lower(C314)</f>
        <v>birthdate</v>
      </c>
      <c r="I314" s="192" t="str">
        <f t="shared" si="304"/>
        <v>date</v>
      </c>
      <c r="J314" s="192" t="str">
        <f t="shared" si="304"/>
        <v>date of first birthday</v>
      </c>
      <c r="K314" s="192" t="str">
        <f t="shared" si="304"/>
        <v>birthdate</v>
      </c>
      <c r="L314" s="193"/>
      <c r="M314" s="193"/>
      <c r="N314" s="193"/>
      <c r="O314" s="193"/>
      <c r="P314" s="194" t="s">
        <v>5300</v>
      </c>
      <c r="Q314" s="194" t="s">
        <v>5300</v>
      </c>
    </row>
    <row r="315">
      <c r="A315" s="33"/>
      <c r="B315" s="33" t="s">
        <v>5295</v>
      </c>
      <c r="C315" s="12" t="s">
        <v>5301</v>
      </c>
      <c r="D315" s="12" t="s">
        <v>31</v>
      </c>
      <c r="E315" s="61" t="s">
        <v>5302</v>
      </c>
      <c r="F315" s="121" t="s">
        <v>5303</v>
      </c>
      <c r="G315" s="118"/>
      <c r="H315" s="192" t="str">
        <f t="shared" ref="H315:K315" si="305">lower(C315)</f>
        <v>readmissionnumber</v>
      </c>
      <c r="I315" s="192" t="str">
        <f t="shared" si="305"/>
        <v>int</v>
      </c>
      <c r="J315" s="192" t="str">
        <f t="shared" si="305"/>
        <v>readmission number</v>
      </c>
      <c r="K315" s="192" t="str">
        <f t="shared" si="305"/>
        <v>readmission_number</v>
      </c>
      <c r="L315" s="193"/>
      <c r="M315" s="193"/>
      <c r="N315" s="193"/>
      <c r="O315" s="193"/>
      <c r="P315" s="194" t="s">
        <v>5304</v>
      </c>
      <c r="Q315" s="194" t="s">
        <v>5304</v>
      </c>
    </row>
    <row r="316">
      <c r="A316" s="33"/>
      <c r="B316" s="33" t="s">
        <v>5295</v>
      </c>
      <c r="C316" s="12" t="s">
        <v>5305</v>
      </c>
      <c r="D316" s="12" t="s">
        <v>5305</v>
      </c>
      <c r="E316" s="61" t="s">
        <v>5306</v>
      </c>
      <c r="F316" s="121" t="s">
        <v>5307</v>
      </c>
      <c r="G316" s="118"/>
      <c r="H316" s="192" t="str">
        <f t="shared" ref="H316:K316" si="306">lower(C316)</f>
        <v>readmissiontimeperiod</v>
      </c>
      <c r="I316" s="192" t="str">
        <f t="shared" si="306"/>
        <v>readmissiontimeperiod</v>
      </c>
      <c r="J316" s="192" t="str">
        <f t="shared" si="306"/>
        <v>time period</v>
      </c>
      <c r="K316" s="192" t="str">
        <f t="shared" si="306"/>
        <v>readmission_time_period</v>
      </c>
      <c r="L316" s="193"/>
      <c r="M316" s="193"/>
      <c r="N316" s="193"/>
      <c r="O316" s="193"/>
      <c r="P316" s="194" t="s">
        <v>5308</v>
      </c>
      <c r="Q316" s="194" t="s">
        <v>5308</v>
      </c>
    </row>
    <row r="317">
      <c r="A317" s="33"/>
      <c r="B317" s="33" t="s">
        <v>5295</v>
      </c>
      <c r="C317" s="12" t="s">
        <v>5309</v>
      </c>
      <c r="D317" s="12" t="s">
        <v>5309</v>
      </c>
      <c r="E317" s="61" t="s">
        <v>5310</v>
      </c>
      <c r="F317" s="121" t="s">
        <v>5311</v>
      </c>
      <c r="G317" s="118"/>
      <c r="H317" s="192" t="str">
        <f t="shared" ref="H317:K317" si="307">lower(C317)</f>
        <v>readmissionprimarycause</v>
      </c>
      <c r="I317" s="192" t="str">
        <f t="shared" si="307"/>
        <v>readmissionprimarycause</v>
      </c>
      <c r="J317" s="192" t="str">
        <f t="shared" si="307"/>
        <v>primary cause</v>
      </c>
      <c r="K317" s="192" t="str">
        <f t="shared" si="307"/>
        <v>readmission_primary_cause</v>
      </c>
      <c r="L317" s="193"/>
      <c r="M317" s="193"/>
      <c r="N317" s="193"/>
      <c r="O317" s="193"/>
      <c r="P317" s="194" t="s">
        <v>5312</v>
      </c>
      <c r="Q317" s="194" t="s">
        <v>5312</v>
      </c>
    </row>
    <row r="318">
      <c r="A318" s="33"/>
      <c r="B318" s="33" t="s">
        <v>5295</v>
      </c>
      <c r="C318" s="12" t="s">
        <v>5313</v>
      </c>
      <c r="D318" s="12" t="s">
        <v>16</v>
      </c>
      <c r="E318" s="61" t="s">
        <v>5314</v>
      </c>
      <c r="F318" s="121" t="s">
        <v>5315</v>
      </c>
      <c r="G318" s="118"/>
      <c r="H318" s="192" t="str">
        <f t="shared" ref="H318:K318" si="308">lower(C318)</f>
        <v>readmissionprimarycauseothertext</v>
      </c>
      <c r="I318" s="192" t="str">
        <f t="shared" si="308"/>
        <v>text</v>
      </c>
      <c r="J318" s="192" t="str">
        <f t="shared" si="308"/>
        <v>primary cause: other - specify</v>
      </c>
      <c r="K318" s="192" t="str">
        <f t="shared" si="308"/>
        <v>readmission_primary_cause_other_text</v>
      </c>
      <c r="L318" s="193"/>
      <c r="M318" s="193"/>
      <c r="N318" s="193"/>
      <c r="O318" s="193"/>
      <c r="P318" s="194" t="s">
        <v>5316</v>
      </c>
      <c r="Q318" s="194" t="s">
        <v>5316</v>
      </c>
    </row>
    <row r="319">
      <c r="A319" s="33"/>
      <c r="B319" s="33" t="s">
        <v>5295</v>
      </c>
      <c r="C319" s="12" t="s">
        <v>5317</v>
      </c>
      <c r="D319" s="12" t="s">
        <v>5317</v>
      </c>
      <c r="E319" s="346" t="s">
        <v>5318</v>
      </c>
      <c r="F319" s="121" t="s">
        <v>5319</v>
      </c>
      <c r="G319" s="118"/>
      <c r="H319" s="192" t="str">
        <f t="shared" ref="H319:K319" si="309">lower(C319)</f>
        <v>readmissionlengthofstay</v>
      </c>
      <c r="I319" s="192" t="str">
        <f t="shared" si="309"/>
        <v>readmissionlengthofstay</v>
      </c>
      <c r="J319" s="192" t="str">
        <f t="shared" si="309"/>
        <v>length of hospital stay</v>
      </c>
      <c r="K319" s="192" t="str">
        <f t="shared" si="309"/>
        <v>readmission_length_of_stay</v>
      </c>
      <c r="L319" s="193"/>
      <c r="M319" s="193"/>
      <c r="N319" s="193"/>
      <c r="O319" s="193"/>
      <c r="P319" s="194"/>
      <c r="Q319" s="194" t="s">
        <v>5320</v>
      </c>
    </row>
    <row r="320">
      <c r="A320" s="33"/>
      <c r="B320" s="33" t="s">
        <v>5295</v>
      </c>
      <c r="C320" s="12" t="s">
        <v>5321</v>
      </c>
      <c r="D320" s="12" t="s">
        <v>40</v>
      </c>
      <c r="E320" s="346" t="s">
        <v>5322</v>
      </c>
      <c r="F320" s="121" t="s">
        <v>5323</v>
      </c>
      <c r="G320" s="118"/>
      <c r="H320" s="192" t="str">
        <f t="shared" ref="H320:K320" si="310">lower(C320)</f>
        <v>readmissionicu</v>
      </c>
      <c r="I320" s="192" t="str">
        <f t="shared" si="310"/>
        <v>bool</v>
      </c>
      <c r="J320" s="192" t="str">
        <f t="shared" si="310"/>
        <v>spend any time in icu?</v>
      </c>
      <c r="K320" s="192" t="str">
        <f t="shared" si="310"/>
        <v>readmission_icu</v>
      </c>
      <c r="L320" s="193"/>
      <c r="M320" s="193"/>
      <c r="N320" s="193"/>
      <c r="O320" s="193"/>
      <c r="P320" s="194"/>
      <c r="Q320" s="194" t="s">
        <v>5324</v>
      </c>
    </row>
    <row r="321">
      <c r="A321" s="33"/>
      <c r="B321" s="33" t="s">
        <v>5295</v>
      </c>
      <c r="C321" s="12" t="s">
        <v>5325</v>
      </c>
      <c r="D321" s="12" t="s">
        <v>4509</v>
      </c>
      <c r="E321" s="346" t="s">
        <v>5326</v>
      </c>
      <c r="F321" s="121" t="s">
        <v>5327</v>
      </c>
      <c r="G321" s="118"/>
      <c r="H321" s="192" t="str">
        <f t="shared" ref="H321:K321" si="311">lower(C321)</f>
        <v>readmissioninterviewwhere</v>
      </c>
      <c r="I321" s="192" t="str">
        <f t="shared" si="311"/>
        <v>interviewlocation</v>
      </c>
      <c r="J321" s="192" t="str">
        <f t="shared" si="311"/>
        <v>form completion - where was interview conducted</v>
      </c>
      <c r="K321" s="192" t="str">
        <f t="shared" si="311"/>
        <v>readmission_interview_where</v>
      </c>
      <c r="L321" s="193"/>
      <c r="M321" s="193"/>
      <c r="N321" s="193"/>
      <c r="O321" s="193"/>
      <c r="P321" s="194" t="s">
        <v>5328</v>
      </c>
      <c r="Q321" s="194" t="s">
        <v>5328</v>
      </c>
    </row>
    <row r="322">
      <c r="A322" s="33"/>
      <c r="B322" s="33" t="s">
        <v>5295</v>
      </c>
      <c r="C322" s="12" t="s">
        <v>5329</v>
      </c>
      <c r="D322" s="12" t="s">
        <v>26</v>
      </c>
      <c r="E322" s="61" t="s">
        <v>5330</v>
      </c>
      <c r="F322" s="121" t="s">
        <v>5331</v>
      </c>
      <c r="G322" s="118"/>
      <c r="H322" s="192" t="str">
        <f t="shared" ref="H322:K322" si="312">lower(C322)</f>
        <v>readmissiondateobtain</v>
      </c>
      <c r="I322" s="192" t="str">
        <f t="shared" si="312"/>
        <v>date</v>
      </c>
      <c r="J322" s="192" t="str">
        <f t="shared" si="312"/>
        <v>form completion - date readmission information obtained</v>
      </c>
      <c r="K322" s="192" t="str">
        <f t="shared" si="312"/>
        <v>readmission_date_obtain</v>
      </c>
      <c r="L322" s="193"/>
      <c r="M322" s="193"/>
      <c r="N322" s="193"/>
      <c r="O322" s="193"/>
      <c r="P322" s="194" t="s">
        <v>5332</v>
      </c>
      <c r="Q322" s="194" t="s">
        <v>5332</v>
      </c>
    </row>
    <row r="323">
      <c r="A323" s="33"/>
      <c r="B323" s="117"/>
      <c r="C323" s="118"/>
      <c r="D323" s="118"/>
      <c r="E323" s="61" t="s">
        <v>8506</v>
      </c>
      <c r="F323" s="121" t="s">
        <v>851</v>
      </c>
      <c r="G323" s="118"/>
      <c r="H323" s="192" t="str">
        <f t="shared" ref="H323:K323" si="313">lower(C323)</f>
        <v/>
      </c>
      <c r="I323" s="192" t="str">
        <f t="shared" si="313"/>
        <v/>
      </c>
      <c r="J323" s="192" t="str">
        <f t="shared" si="313"/>
        <v>form completion - initials</v>
      </c>
      <c r="K323" s="192" t="str">
        <f t="shared" si="313"/>
        <v/>
      </c>
      <c r="L323" s="193"/>
      <c r="M323" s="193"/>
      <c r="N323" s="193"/>
      <c r="O323" s="193"/>
      <c r="P323" s="194" t="s">
        <v>8507</v>
      </c>
      <c r="Q323" s="194" t="s">
        <v>8507</v>
      </c>
    </row>
    <row r="324">
      <c r="A324" s="33" t="s">
        <v>4205</v>
      </c>
      <c r="B324" s="33" t="s">
        <v>3422</v>
      </c>
      <c r="C324" s="12" t="s">
        <v>5333</v>
      </c>
      <c r="D324" s="12" t="s">
        <v>26</v>
      </c>
      <c r="E324" s="61" t="s">
        <v>4210</v>
      </c>
      <c r="F324" s="121" t="s">
        <v>5334</v>
      </c>
      <c r="G324" s="118"/>
      <c r="H324" s="192" t="str">
        <f t="shared" ref="H324:K324" si="314">lower(C324)</f>
        <v>statusvisitdate</v>
      </c>
      <c r="I324" s="192" t="str">
        <f t="shared" si="314"/>
        <v>date</v>
      </c>
      <c r="J324" s="192" t="str">
        <f t="shared" si="314"/>
        <v>visit date</v>
      </c>
      <c r="K324" s="192" t="str">
        <f t="shared" si="314"/>
        <v>status_visit_date</v>
      </c>
      <c r="L324" s="193"/>
      <c r="M324" s="193"/>
      <c r="N324" s="193"/>
      <c r="O324" s="193"/>
      <c r="P324" s="345" t="s">
        <v>5335</v>
      </c>
      <c r="Q324" s="345" t="s">
        <v>5335</v>
      </c>
    </row>
    <row r="325">
      <c r="A325" s="33"/>
      <c r="B325" s="33" t="s">
        <v>3422</v>
      </c>
      <c r="C325" s="12" t="s">
        <v>5336</v>
      </c>
      <c r="D325" s="12" t="s">
        <v>26</v>
      </c>
      <c r="E325" s="61" t="s">
        <v>4227</v>
      </c>
      <c r="F325" s="121" t="s">
        <v>5337</v>
      </c>
      <c r="G325" s="118"/>
      <c r="H325" s="192" t="str">
        <f t="shared" ref="H325:K325" si="315">lower(C325)</f>
        <v>statusbirthdate</v>
      </c>
      <c r="I325" s="192" t="str">
        <f t="shared" si="315"/>
        <v>date</v>
      </c>
      <c r="J325" s="192" t="str">
        <f t="shared" si="315"/>
        <v>date of birth</v>
      </c>
      <c r="K325" s="192" t="str">
        <f t="shared" si="315"/>
        <v>status_birth_date</v>
      </c>
      <c r="L325" s="193"/>
      <c r="M325" s="193"/>
      <c r="N325" s="193"/>
      <c r="O325" s="193"/>
      <c r="P325" s="194" t="s">
        <v>5338</v>
      </c>
      <c r="Q325" s="194" t="s">
        <v>5338</v>
      </c>
    </row>
    <row r="326">
      <c r="A326" s="33"/>
      <c r="B326" s="33" t="s">
        <v>3422</v>
      </c>
      <c r="C326" s="12" t="s">
        <v>5339</v>
      </c>
      <c r="D326" s="12" t="s">
        <v>5340</v>
      </c>
      <c r="E326" s="61" t="s">
        <v>5341</v>
      </c>
      <c r="F326" s="121" t="s">
        <v>5342</v>
      </c>
      <c r="G326" s="118"/>
      <c r="H326" s="192" t="str">
        <f t="shared" ref="H326:K326" si="316">lower(C326)</f>
        <v>childfinalstatus</v>
      </c>
      <c r="I326" s="192" t="str">
        <f t="shared" si="316"/>
        <v>followupstatus</v>
      </c>
      <c r="J326" s="192" t="str">
        <f t="shared" si="316"/>
        <v>final status of the child</v>
      </c>
      <c r="K326" s="192" t="str">
        <f t="shared" si="316"/>
        <v>child_final_status</v>
      </c>
      <c r="L326" s="193"/>
      <c r="M326" s="194" t="s">
        <v>8508</v>
      </c>
      <c r="N326" s="193"/>
      <c r="O326" s="193"/>
      <c r="P326" s="194" t="s">
        <v>5343</v>
      </c>
      <c r="Q326" s="194" t="s">
        <v>5343</v>
      </c>
    </row>
    <row r="327">
      <c r="A327" s="33"/>
      <c r="B327" s="33" t="s">
        <v>3422</v>
      </c>
      <c r="C327" s="12" t="s">
        <v>3521</v>
      </c>
      <c r="D327" s="12" t="s">
        <v>26</v>
      </c>
      <c r="E327" s="61" t="s">
        <v>3522</v>
      </c>
      <c r="F327" s="121" t="s">
        <v>3523</v>
      </c>
      <c r="G327" s="118"/>
      <c r="H327" s="192" t="str">
        <f t="shared" ref="H327:K327" si="317">lower(C327)</f>
        <v>deathdate</v>
      </c>
      <c r="I327" s="192" t="str">
        <f t="shared" si="317"/>
        <v>date</v>
      </c>
      <c r="J327" s="192" t="str">
        <f t="shared" si="317"/>
        <v>date of death</v>
      </c>
      <c r="K327" s="192" t="str">
        <f t="shared" si="317"/>
        <v>death_date</v>
      </c>
      <c r="L327" s="193"/>
      <c r="M327" s="194" t="s">
        <v>8398</v>
      </c>
      <c r="N327" s="193"/>
      <c r="O327" s="193"/>
      <c r="P327" s="194" t="s">
        <v>5344</v>
      </c>
      <c r="Q327" s="194" t="s">
        <v>5344</v>
      </c>
    </row>
    <row r="328">
      <c r="A328" s="33"/>
      <c r="B328" s="33" t="s">
        <v>3422</v>
      </c>
      <c r="C328" s="12" t="s">
        <v>3536</v>
      </c>
      <c r="D328" s="12" t="s">
        <v>3536</v>
      </c>
      <c r="E328" s="61" t="s">
        <v>3537</v>
      </c>
      <c r="F328" s="121" t="s">
        <v>3538</v>
      </c>
      <c r="G328" s="118"/>
      <c r="H328" s="192" t="str">
        <f t="shared" ref="H328:K328" si="318">lower(C328)</f>
        <v>deathcause</v>
      </c>
      <c r="I328" s="192" t="str">
        <f t="shared" si="318"/>
        <v>deathcause</v>
      </c>
      <c r="J328" s="192" t="str">
        <f t="shared" si="318"/>
        <v>cause of death</v>
      </c>
      <c r="K328" s="192" t="str">
        <f t="shared" si="318"/>
        <v>death_cause</v>
      </c>
      <c r="L328" s="193"/>
      <c r="M328" s="193"/>
      <c r="N328" s="193"/>
      <c r="O328" s="193"/>
      <c r="P328" s="194"/>
      <c r="Q328" s="194" t="s">
        <v>5345</v>
      </c>
    </row>
    <row r="329">
      <c r="A329" s="33"/>
      <c r="B329" s="33" t="s">
        <v>3422</v>
      </c>
      <c r="C329" s="12" t="s">
        <v>5346</v>
      </c>
      <c r="D329" s="12" t="s">
        <v>5346</v>
      </c>
      <c r="E329" s="61" t="s">
        <v>5347</v>
      </c>
      <c r="F329" s="121" t="s">
        <v>5348</v>
      </c>
      <c r="G329" s="118"/>
      <c r="H329" s="192" t="str">
        <f t="shared" ref="H329:K329" si="319">lower(C329)</f>
        <v>reasonlossfollowup</v>
      </c>
      <c r="I329" s="192" t="str">
        <f t="shared" si="319"/>
        <v>reasonlossfollowup</v>
      </c>
      <c r="J329" s="192" t="str">
        <f t="shared" si="319"/>
        <v>loss to follow-up: reason</v>
      </c>
      <c r="K329" s="192" t="str">
        <f t="shared" si="319"/>
        <v>reason_loss_follow_up</v>
      </c>
      <c r="L329" s="193"/>
      <c r="M329" s="193"/>
      <c r="N329" s="193"/>
      <c r="O329" s="193"/>
      <c r="P329" s="194" t="s">
        <v>5349</v>
      </c>
      <c r="Q329" s="194" t="s">
        <v>5349</v>
      </c>
    </row>
    <row r="330">
      <c r="A330" s="33"/>
      <c r="B330" s="33" t="s">
        <v>3422</v>
      </c>
      <c r="C330" s="12" t="s">
        <v>8509</v>
      </c>
      <c r="D330" s="118"/>
      <c r="F330" s="121" t="s">
        <v>851</v>
      </c>
      <c r="G330" s="118"/>
      <c r="H330" s="192" t="str">
        <f t="shared" ref="H330:K330" si="320">lower(C330)</f>
        <v>cerebralpalsystatus</v>
      </c>
      <c r="I330" s="192" t="str">
        <f t="shared" si="320"/>
        <v/>
      </c>
      <c r="J330" s="192" t="str">
        <f t="shared" si="320"/>
        <v/>
      </c>
      <c r="K330" s="192" t="str">
        <f t="shared" si="320"/>
        <v/>
      </c>
      <c r="L330" s="193"/>
      <c r="M330" s="194" t="s">
        <v>8510</v>
      </c>
      <c r="N330" s="193"/>
      <c r="O330" s="193"/>
      <c r="P330" s="193"/>
      <c r="Q330" s="193"/>
    </row>
    <row r="331">
      <c r="A331" s="33"/>
      <c r="B331" s="33"/>
      <c r="C331" s="118"/>
      <c r="D331" s="118"/>
      <c r="F331" s="121" t="s">
        <v>851</v>
      </c>
      <c r="G331" s="118"/>
      <c r="H331" s="192" t="str">
        <f t="shared" ref="H331:K331" si="321">lower(C331)</f>
        <v/>
      </c>
      <c r="I331" s="192" t="str">
        <f t="shared" si="321"/>
        <v/>
      </c>
      <c r="J331" s="192" t="str">
        <f t="shared" si="321"/>
        <v/>
      </c>
      <c r="K331" s="192" t="str">
        <f t="shared" si="321"/>
        <v/>
      </c>
      <c r="L331" s="193"/>
      <c r="M331" s="193"/>
      <c r="N331" s="193"/>
      <c r="O331" s="193"/>
      <c r="P331" s="193"/>
      <c r="Q331" s="193"/>
    </row>
    <row r="332">
      <c r="A332" s="33" t="s">
        <v>4205</v>
      </c>
      <c r="B332" s="33" t="s">
        <v>3422</v>
      </c>
      <c r="C332" s="12" t="s">
        <v>5350</v>
      </c>
      <c r="D332" s="12" t="s">
        <v>26</v>
      </c>
      <c r="E332" s="61" t="s">
        <v>5351</v>
      </c>
      <c r="F332" s="121" t="s">
        <v>5352</v>
      </c>
      <c r="G332" s="118"/>
      <c r="H332" s="192" t="str">
        <f t="shared" ref="H332:K332" si="322">lower(C332)</f>
        <v>firstvisitdate</v>
      </c>
      <c r="I332" s="192" t="str">
        <f t="shared" si="322"/>
        <v>date</v>
      </c>
      <c r="J332" s="192" t="str">
        <f t="shared" si="322"/>
        <v>date of first visit</v>
      </c>
      <c r="K332" s="192" t="str">
        <f t="shared" si="322"/>
        <v>first_visit_date</v>
      </c>
      <c r="L332" s="193"/>
      <c r="M332" s="193"/>
      <c r="N332" s="193"/>
      <c r="O332" s="193"/>
      <c r="P332" s="194" t="s">
        <v>5353</v>
      </c>
      <c r="Q332" s="194" t="s">
        <v>5353</v>
      </c>
    </row>
    <row r="333">
      <c r="A333" s="33"/>
      <c r="B333" s="33" t="s">
        <v>3422</v>
      </c>
      <c r="C333" s="12" t="s">
        <v>5354</v>
      </c>
      <c r="D333" s="12" t="s">
        <v>26</v>
      </c>
      <c r="E333" s="61" t="s">
        <v>5355</v>
      </c>
      <c r="F333" s="121" t="s">
        <v>5356</v>
      </c>
      <c r="G333" s="118"/>
      <c r="H333" s="192" t="str">
        <f t="shared" ref="H333:K333" si="323">lower(C333)</f>
        <v>finalvisitdate</v>
      </c>
      <c r="I333" s="192" t="str">
        <f t="shared" si="323"/>
        <v>date</v>
      </c>
      <c r="J333" s="192" t="str">
        <f t="shared" si="323"/>
        <v>date of final visit</v>
      </c>
      <c r="K333" s="192" t="str">
        <f t="shared" si="323"/>
        <v>final_visit_date</v>
      </c>
      <c r="L333" s="193"/>
      <c r="M333" s="193"/>
      <c r="N333" s="193"/>
      <c r="O333" s="193"/>
      <c r="P333" s="194" t="s">
        <v>5357</v>
      </c>
      <c r="Q333" s="194" t="s">
        <v>5357</v>
      </c>
    </row>
    <row r="334">
      <c r="A334" s="33"/>
      <c r="B334" s="33" t="s">
        <v>3422</v>
      </c>
      <c r="C334" s="12"/>
      <c r="D334" s="12" t="s">
        <v>40</v>
      </c>
      <c r="E334" s="61" t="s">
        <v>5358</v>
      </c>
      <c r="F334" s="121" t="s">
        <v>8511</v>
      </c>
      <c r="G334" s="118"/>
      <c r="H334" s="192" t="str">
        <f t="shared" ref="H334:K334" si="324">lower(C334)</f>
        <v/>
      </c>
      <c r="I334" s="192" t="str">
        <f t="shared" si="324"/>
        <v>bool</v>
      </c>
      <c r="J334" s="192" t="str">
        <f t="shared" si="324"/>
        <v>final outcome log</v>
      </c>
      <c r="K334" s="192" t="str">
        <f t="shared" si="324"/>
        <v>final_outcome_log</v>
      </c>
      <c r="L334" s="193"/>
      <c r="M334" s="193"/>
      <c r="N334" s="193"/>
      <c r="O334" s="193"/>
      <c r="P334" s="194" t="s">
        <v>5359</v>
      </c>
      <c r="Q334" s="194" t="s">
        <v>5359</v>
      </c>
    </row>
    <row r="335">
      <c r="A335" s="33"/>
      <c r="B335" s="33" t="s">
        <v>3422</v>
      </c>
      <c r="C335" s="12"/>
      <c r="D335" s="12" t="s">
        <v>40</v>
      </c>
      <c r="E335" s="61" t="s">
        <v>5360</v>
      </c>
      <c r="F335" s="121" t="s">
        <v>8512</v>
      </c>
      <c r="G335" s="118"/>
      <c r="H335" s="192" t="str">
        <f t="shared" ref="H335:K335" si="325">lower(C335)</f>
        <v/>
      </c>
      <c r="I335" s="192" t="str">
        <f t="shared" si="325"/>
        <v>bool</v>
      </c>
      <c r="J335" s="192" t="str">
        <f t="shared" si="325"/>
        <v>ses at 18+4 mo?</v>
      </c>
      <c r="K335" s="192" t="str">
        <f t="shared" si="325"/>
        <v>ses_form</v>
      </c>
      <c r="L335" s="193"/>
      <c r="M335" s="193"/>
      <c r="N335" s="193"/>
      <c r="O335" s="193"/>
      <c r="P335" s="194" t="s">
        <v>5361</v>
      </c>
      <c r="Q335" s="194" t="s">
        <v>5361</v>
      </c>
    </row>
    <row r="336">
      <c r="A336" s="33"/>
      <c r="B336" s="33" t="s">
        <v>3422</v>
      </c>
      <c r="C336" s="12"/>
      <c r="D336" s="12" t="s">
        <v>40</v>
      </c>
      <c r="E336" s="61" t="s">
        <v>5362</v>
      </c>
      <c r="F336" s="121" t="s">
        <v>8513</v>
      </c>
      <c r="G336" s="118"/>
      <c r="H336" s="192" t="str">
        <f t="shared" ref="H336:K336" si="326">lower(C336)</f>
        <v/>
      </c>
      <c r="I336" s="192" t="str">
        <f t="shared" si="326"/>
        <v>bool</v>
      </c>
      <c r="J336" s="192" t="str">
        <f t="shared" si="326"/>
        <v>medical history form?</v>
      </c>
      <c r="K336" s="192" t="str">
        <f t="shared" si="326"/>
        <v>medical_history_form</v>
      </c>
      <c r="L336" s="193"/>
      <c r="M336" s="193"/>
      <c r="N336" s="193"/>
      <c r="O336" s="193"/>
      <c r="P336" s="194" t="s">
        <v>5363</v>
      </c>
      <c r="Q336" s="194" t="s">
        <v>5363</v>
      </c>
    </row>
    <row r="337">
      <c r="A337" s="33"/>
      <c r="B337" s="33" t="s">
        <v>3422</v>
      </c>
      <c r="C337" s="12"/>
      <c r="D337" s="12" t="s">
        <v>40</v>
      </c>
      <c r="E337" s="61" t="s">
        <v>5364</v>
      </c>
      <c r="F337" s="121" t="s">
        <v>8514</v>
      </c>
      <c r="G337" s="118"/>
      <c r="H337" s="192" t="str">
        <f t="shared" ref="H337:K337" si="327">lower(C337)</f>
        <v/>
      </c>
      <c r="I337" s="192" t="str">
        <f t="shared" si="327"/>
        <v>bool</v>
      </c>
      <c r="J337" s="192" t="str">
        <f t="shared" si="327"/>
        <v>readmission form?</v>
      </c>
      <c r="K337" s="192" t="str">
        <f t="shared" si="327"/>
        <v>readmission_form</v>
      </c>
      <c r="L337" s="193"/>
      <c r="M337" s="193"/>
      <c r="N337" s="193"/>
      <c r="O337" s="193"/>
      <c r="P337" s="194" t="s">
        <v>5365</v>
      </c>
      <c r="Q337" s="194" t="s">
        <v>5365</v>
      </c>
    </row>
    <row r="338">
      <c r="A338" s="33"/>
      <c r="B338" s="33" t="s">
        <v>3422</v>
      </c>
      <c r="C338" s="12"/>
      <c r="D338" s="12" t="s">
        <v>40</v>
      </c>
      <c r="E338" s="61" t="s">
        <v>5366</v>
      </c>
      <c r="F338" s="121" t="s">
        <v>8515</v>
      </c>
      <c r="G338" s="118"/>
      <c r="H338" s="192" t="str">
        <f t="shared" ref="H338:K338" si="328">lower(C338)</f>
        <v/>
      </c>
      <c r="I338" s="192" t="str">
        <f t="shared" si="328"/>
        <v>bool</v>
      </c>
      <c r="J338" s="192" t="str">
        <f t="shared" si="328"/>
        <v>child exam form?</v>
      </c>
      <c r="K338" s="192" t="str">
        <f t="shared" si="328"/>
        <v>child_exam_form</v>
      </c>
      <c r="L338" s="193"/>
      <c r="M338" s="193"/>
      <c r="N338" s="193"/>
      <c r="O338" s="193"/>
      <c r="P338" s="194" t="s">
        <v>5367</v>
      </c>
      <c r="Q338" s="194" t="s">
        <v>5367</v>
      </c>
    </row>
    <row r="339">
      <c r="A339" s="33"/>
      <c r="B339" s="33" t="s">
        <v>3422</v>
      </c>
      <c r="C339" s="12"/>
      <c r="D339" s="12" t="s">
        <v>40</v>
      </c>
      <c r="E339" s="61" t="s">
        <v>5368</v>
      </c>
      <c r="F339" s="121" t="s">
        <v>8516</v>
      </c>
      <c r="G339" s="118"/>
      <c r="H339" s="192" t="str">
        <f t="shared" ref="H339:K339" si="329">lower(C339)</f>
        <v/>
      </c>
      <c r="I339" s="192" t="str">
        <f t="shared" si="329"/>
        <v>bool</v>
      </c>
      <c r="J339" s="192" t="str">
        <f t="shared" si="329"/>
        <v>bayley iii score form?</v>
      </c>
      <c r="K339" s="192" t="str">
        <f t="shared" si="329"/>
        <v>bayleyiii_score_form</v>
      </c>
      <c r="L339" s="193"/>
      <c r="M339" s="193"/>
      <c r="N339" s="193"/>
      <c r="O339" s="193"/>
      <c r="P339" s="194" t="s">
        <v>5369</v>
      </c>
      <c r="Q339" s="194" t="s">
        <v>5369</v>
      </c>
    </row>
    <row r="340">
      <c r="A340" s="33"/>
      <c r="B340" s="33" t="s">
        <v>3422</v>
      </c>
      <c r="C340" s="12"/>
      <c r="D340" s="12" t="s">
        <v>40</v>
      </c>
      <c r="E340" s="61" t="s">
        <v>5370</v>
      </c>
      <c r="F340" s="121" t="s">
        <v>8517</v>
      </c>
      <c r="G340" s="118"/>
      <c r="H340" s="192" t="str">
        <f t="shared" ref="H340:K340" si="330">lower(C340)</f>
        <v/>
      </c>
      <c r="I340" s="192" t="str">
        <f t="shared" si="330"/>
        <v>bool</v>
      </c>
      <c r="J340" s="192" t="str">
        <f t="shared" si="330"/>
        <v>status form?</v>
      </c>
      <c r="K340" s="192" t="str">
        <f t="shared" si="330"/>
        <v>status_form</v>
      </c>
      <c r="L340" s="193"/>
      <c r="M340" s="193"/>
      <c r="N340" s="193"/>
      <c r="O340" s="193"/>
      <c r="P340" s="194" t="s">
        <v>5371</v>
      </c>
      <c r="Q340" s="194" t="s">
        <v>5371</v>
      </c>
    </row>
    <row r="341">
      <c r="A341" s="33"/>
      <c r="B341" s="33" t="s">
        <v>3422</v>
      </c>
      <c r="C341" s="12"/>
      <c r="D341" s="12" t="s">
        <v>40</v>
      </c>
      <c r="E341" s="61" t="s">
        <v>5372</v>
      </c>
      <c r="F341" s="121" t="s">
        <v>8518</v>
      </c>
      <c r="G341" s="118"/>
      <c r="H341" s="192" t="str">
        <f t="shared" ref="H341:K341" si="331">lower(C341)</f>
        <v/>
      </c>
      <c r="I341" s="192" t="str">
        <f t="shared" si="331"/>
        <v>bool</v>
      </c>
      <c r="J341" s="192" t="str">
        <f t="shared" si="331"/>
        <v>lost-to-follow-up questionnaire?</v>
      </c>
      <c r="K341" s="192" t="str">
        <f t="shared" si="331"/>
        <v>lost_follow_up_form</v>
      </c>
      <c r="L341" s="193"/>
      <c r="M341" s="193"/>
      <c r="N341" s="193"/>
      <c r="O341" s="193"/>
      <c r="P341" s="194" t="s">
        <v>5373</v>
      </c>
      <c r="Q341" s="194" t="s">
        <v>5373</v>
      </c>
    </row>
    <row r="342">
      <c r="A342" s="33"/>
      <c r="B342" s="33"/>
      <c r="C342" s="118"/>
      <c r="D342" s="118"/>
      <c r="F342" s="121" t="s">
        <v>851</v>
      </c>
      <c r="G342" s="118"/>
      <c r="H342" s="192" t="str">
        <f t="shared" ref="H342:K342" si="332">lower(C342)</f>
        <v/>
      </c>
      <c r="I342" s="192" t="str">
        <f t="shared" si="332"/>
        <v/>
      </c>
      <c r="J342" s="192" t="str">
        <f t="shared" si="332"/>
        <v/>
      </c>
      <c r="K342" s="192" t="str">
        <f t="shared" si="332"/>
        <v/>
      </c>
      <c r="L342" s="193"/>
      <c r="M342" s="193"/>
      <c r="N342" s="193"/>
      <c r="O342" s="193"/>
      <c r="P342" s="193"/>
      <c r="Q342" s="193"/>
    </row>
    <row r="343">
      <c r="A343" s="33"/>
      <c r="B343" s="33"/>
      <c r="C343" s="118"/>
      <c r="D343" s="118"/>
      <c r="F343" s="121" t="s">
        <v>851</v>
      </c>
      <c r="G343" s="118"/>
      <c r="H343" s="192" t="str">
        <f t="shared" ref="H343:K343" si="333">lower(C343)</f>
        <v/>
      </c>
      <c r="I343" s="192" t="str">
        <f t="shared" si="333"/>
        <v/>
      </c>
      <c r="J343" s="192" t="str">
        <f t="shared" si="333"/>
        <v/>
      </c>
      <c r="K343" s="192" t="str">
        <f t="shared" si="333"/>
        <v/>
      </c>
      <c r="L343" s="193"/>
      <c r="M343" s="193"/>
      <c r="N343" s="193"/>
      <c r="O343" s="193"/>
      <c r="P343" s="193"/>
      <c r="Q343" s="193"/>
    </row>
    <row r="344">
      <c r="A344" s="33" t="s">
        <v>4205</v>
      </c>
      <c r="B344" s="33" t="s">
        <v>5374</v>
      </c>
      <c r="C344" s="12" t="s">
        <v>5375</v>
      </c>
      <c r="D344" s="12" t="s">
        <v>40</v>
      </c>
      <c r="E344" s="61" t="s">
        <v>5376</v>
      </c>
      <c r="F344" s="121" t="s">
        <v>5377</v>
      </c>
      <c r="G344" s="118"/>
      <c r="H344" s="192" t="str">
        <f t="shared" ref="H344:K344" si="334">lower(C344)</f>
        <v>lostfollowupinformationavailableindirectsrc</v>
      </c>
      <c r="I344" s="192" t="str">
        <f t="shared" si="334"/>
        <v>bool</v>
      </c>
      <c r="J344" s="192" t="str">
        <f t="shared" si="334"/>
        <v>is information available for this child from indirect source?</v>
      </c>
      <c r="K344" s="192" t="str">
        <f t="shared" si="334"/>
        <v>lost_follow_up_information_available_indirect_src</v>
      </c>
      <c r="L344" s="193"/>
      <c r="M344" s="193"/>
      <c r="N344" s="193"/>
      <c r="O344" s="193"/>
      <c r="P344" s="194" t="s">
        <v>5378</v>
      </c>
      <c r="Q344" s="194" t="s">
        <v>5378</v>
      </c>
    </row>
    <row r="345">
      <c r="A345" s="33"/>
      <c r="B345" s="33" t="s">
        <v>5374</v>
      </c>
      <c r="C345" s="12" t="s">
        <v>5379</v>
      </c>
      <c r="D345" s="12" t="s">
        <v>26</v>
      </c>
      <c r="E345" s="61" t="s">
        <v>5380</v>
      </c>
      <c r="F345" s="121" t="s">
        <v>5381</v>
      </c>
      <c r="G345" s="118"/>
      <c r="H345" s="192" t="str">
        <f t="shared" ref="H345:K345" si="335">lower(C345)</f>
        <v>lostfollowuplastcontactdate</v>
      </c>
      <c r="I345" s="192" t="str">
        <f t="shared" si="335"/>
        <v>date</v>
      </c>
      <c r="J345" s="192" t="str">
        <f t="shared" si="335"/>
        <v>date of last contact</v>
      </c>
      <c r="K345" s="192" t="str">
        <f t="shared" si="335"/>
        <v>lost_follow_up_last_contact_date</v>
      </c>
      <c r="L345" s="193"/>
      <c r="M345" s="193"/>
      <c r="N345" s="193"/>
      <c r="O345" s="193"/>
      <c r="P345" s="194" t="s">
        <v>5382</v>
      </c>
      <c r="Q345" s="194" t="s">
        <v>5382</v>
      </c>
    </row>
    <row r="346">
      <c r="A346" s="33"/>
      <c r="B346" s="33" t="s">
        <v>5374</v>
      </c>
      <c r="C346" s="12" t="s">
        <v>5383</v>
      </c>
      <c r="D346" s="12" t="s">
        <v>26</v>
      </c>
      <c r="E346" s="61" t="s">
        <v>5384</v>
      </c>
      <c r="F346" s="121" t="s">
        <v>5385</v>
      </c>
      <c r="G346" s="118"/>
      <c r="H346" s="192" t="str">
        <f t="shared" ref="H346:K346" si="336">lower(C346)</f>
        <v>lostfollowupformcompletedate</v>
      </c>
      <c r="I346" s="192" t="str">
        <f t="shared" si="336"/>
        <v>date</v>
      </c>
      <c r="J346" s="192" t="str">
        <f t="shared" si="336"/>
        <v>date of form completed</v>
      </c>
      <c r="K346" s="192" t="str">
        <f t="shared" si="336"/>
        <v>lost_follow_up_form_complete_date</v>
      </c>
      <c r="L346" s="193"/>
      <c r="M346" s="193"/>
      <c r="N346" s="193"/>
      <c r="O346" s="193"/>
      <c r="P346" s="194" t="s">
        <v>5386</v>
      </c>
      <c r="Q346" s="194" t="s">
        <v>5386</v>
      </c>
    </row>
    <row r="347">
      <c r="A347" s="33"/>
      <c r="B347" s="33" t="s">
        <v>5374</v>
      </c>
      <c r="C347" s="12" t="s">
        <v>5387</v>
      </c>
      <c r="D347" s="12" t="s">
        <v>40</v>
      </c>
      <c r="E347" s="61" t="s">
        <v>5388</v>
      </c>
      <c r="F347" s="121" t="s">
        <v>5389</v>
      </c>
      <c r="G347" s="118"/>
      <c r="H347" s="192" t="str">
        <f t="shared" ref="H347:K347" si="337">lower(C347)</f>
        <v>lostfollowupchildalive</v>
      </c>
      <c r="I347" s="192" t="str">
        <f t="shared" si="337"/>
        <v>bool</v>
      </c>
      <c r="J347" s="192" t="str">
        <f t="shared" si="337"/>
        <v>is child alive?</v>
      </c>
      <c r="K347" s="192" t="str">
        <f t="shared" si="337"/>
        <v>lost_follow_up_child_alive</v>
      </c>
      <c r="L347" s="193"/>
      <c r="M347" s="193"/>
      <c r="N347" s="193"/>
      <c r="O347" s="193"/>
      <c r="P347" s="194" t="s">
        <v>5390</v>
      </c>
      <c r="Q347" s="194" t="s">
        <v>5390</v>
      </c>
    </row>
    <row r="348">
      <c r="A348" s="33"/>
      <c r="B348" s="33" t="s">
        <v>5374</v>
      </c>
      <c r="C348" s="12" t="s">
        <v>5391</v>
      </c>
      <c r="D348" s="12" t="s">
        <v>31</v>
      </c>
      <c r="E348" s="61" t="s">
        <v>5392</v>
      </c>
      <c r="F348" s="121" t="s">
        <v>8519</v>
      </c>
      <c r="G348" s="118"/>
      <c r="H348" s="192" t="str">
        <f t="shared" ref="H348:K348" si="338">lower(C348)</f>
        <v>lostfollowuplastknownalivecorrectedage_mo</v>
      </c>
      <c r="I348" s="192" t="str">
        <f t="shared" si="338"/>
        <v>int</v>
      </c>
      <c r="J348" s="192" t="str">
        <f t="shared" si="338"/>
        <v>yes - corrected age last known to be alive</v>
      </c>
      <c r="K348" s="192" t="str">
        <f t="shared" si="338"/>
        <v>lost_follow_up_last_known_alive_corrected_age</v>
      </c>
      <c r="L348" s="193"/>
      <c r="M348" s="193"/>
      <c r="N348" s="193"/>
      <c r="O348" s="193"/>
      <c r="P348" s="194" t="s">
        <v>5394</v>
      </c>
      <c r="Q348" s="194" t="s">
        <v>5394</v>
      </c>
    </row>
    <row r="349">
      <c r="A349" s="33"/>
      <c r="B349" s="33" t="s">
        <v>5374</v>
      </c>
      <c r="C349" s="12" t="s">
        <v>5395</v>
      </c>
      <c r="D349" s="12" t="s">
        <v>26</v>
      </c>
      <c r="E349" s="61" t="s">
        <v>5396</v>
      </c>
      <c r="F349" s="121" t="s">
        <v>5397</v>
      </c>
      <c r="G349" s="118"/>
      <c r="H349" s="192" t="str">
        <f t="shared" ref="H349:K349" si="339">lower(C349)</f>
        <v>lostfollowupdeathdate</v>
      </c>
      <c r="I349" s="192" t="str">
        <f t="shared" si="339"/>
        <v>date</v>
      </c>
      <c r="J349" s="192" t="str">
        <f t="shared" si="339"/>
        <v>no - date of death</v>
      </c>
      <c r="K349" s="192" t="str">
        <f t="shared" si="339"/>
        <v>lost_follow_up_death_date</v>
      </c>
      <c r="L349" s="193"/>
      <c r="M349" s="193"/>
      <c r="N349" s="193"/>
      <c r="O349" s="193"/>
      <c r="P349" s="194" t="s">
        <v>5398</v>
      </c>
      <c r="Q349" s="194" t="s">
        <v>5398</v>
      </c>
    </row>
    <row r="350">
      <c r="A350" s="33"/>
      <c r="B350" s="33" t="s">
        <v>5374</v>
      </c>
      <c r="C350" s="12" t="s">
        <v>5399</v>
      </c>
      <c r="D350" s="12" t="s">
        <v>40</v>
      </c>
      <c r="E350" s="61" t="s">
        <v>5400</v>
      </c>
      <c r="F350" s="121" t="s">
        <v>5401</v>
      </c>
      <c r="G350" s="118"/>
      <c r="H350" s="192" t="str">
        <f t="shared" ref="H350:K350" si="340">lower(C350)</f>
        <v>lostfollowupinterview</v>
      </c>
      <c r="I350" s="192" t="str">
        <f t="shared" si="340"/>
        <v>bool</v>
      </c>
      <c r="J350" s="192" t="str">
        <f t="shared" si="340"/>
        <v>caretaker interview</v>
      </c>
      <c r="K350" s="192" t="str">
        <f t="shared" si="340"/>
        <v>lost_follow_up_interview</v>
      </c>
      <c r="L350" s="193"/>
      <c r="M350" s="193"/>
      <c r="N350" s="193"/>
      <c r="O350" s="193"/>
      <c r="P350" s="194" t="s">
        <v>5402</v>
      </c>
      <c r="Q350" s="194" t="s">
        <v>5402</v>
      </c>
    </row>
    <row r="351">
      <c r="A351" s="33"/>
      <c r="B351" s="33" t="s">
        <v>5374</v>
      </c>
      <c r="C351" s="12" t="s">
        <v>5403</v>
      </c>
      <c r="D351" s="12" t="s">
        <v>26</v>
      </c>
      <c r="E351" s="61" t="s">
        <v>5404</v>
      </c>
      <c r="F351" s="121" t="s">
        <v>5405</v>
      </c>
      <c r="G351" s="118"/>
      <c r="H351" s="192" t="str">
        <f t="shared" ref="H351:K351" si="341">lower(C351)</f>
        <v>lostfollowupinterviewdate</v>
      </c>
      <c r="I351" s="192" t="str">
        <f t="shared" si="341"/>
        <v>date</v>
      </c>
      <c r="J351" s="192" t="str">
        <f t="shared" si="341"/>
        <v>date of interview</v>
      </c>
      <c r="K351" s="192" t="str">
        <f t="shared" si="341"/>
        <v>lost_follow_up_interview_date</v>
      </c>
      <c r="L351" s="193"/>
      <c r="M351" s="193"/>
      <c r="N351" s="193"/>
      <c r="O351" s="193"/>
      <c r="P351" s="194" t="s">
        <v>5406</v>
      </c>
      <c r="Q351" s="194" t="s">
        <v>5406</v>
      </c>
    </row>
    <row r="352">
      <c r="A352" s="33"/>
      <c r="B352" s="33" t="s">
        <v>5374</v>
      </c>
      <c r="C352" s="12" t="s">
        <v>5407</v>
      </c>
      <c r="D352" s="12" t="s">
        <v>31</v>
      </c>
      <c r="E352" s="61" t="s">
        <v>5408</v>
      </c>
      <c r="F352" s="121" t="s">
        <v>8520</v>
      </c>
      <c r="G352" s="118"/>
      <c r="H352" s="192" t="str">
        <f t="shared" ref="H352:K352" si="342">lower(C352)</f>
        <v>lostfollowupinterviewcorrectedage_mo</v>
      </c>
      <c r="I352" s="192" t="str">
        <f t="shared" si="342"/>
        <v>int</v>
      </c>
      <c r="J352" s="192" t="str">
        <f t="shared" si="342"/>
        <v>corrected age of the child at the time of interview</v>
      </c>
      <c r="K352" s="192" t="str">
        <f t="shared" si="342"/>
        <v>lost_follow_up_interview_corrected_age</v>
      </c>
      <c r="L352" s="193"/>
      <c r="M352" s="193"/>
      <c r="N352" s="193"/>
      <c r="O352" s="193"/>
      <c r="P352" s="194" t="s">
        <v>5410</v>
      </c>
      <c r="Q352" s="194" t="s">
        <v>5410</v>
      </c>
    </row>
    <row r="353">
      <c r="A353" s="33"/>
      <c r="B353" s="33" t="s">
        <v>5374</v>
      </c>
      <c r="C353" s="12" t="s">
        <v>5411</v>
      </c>
      <c r="D353" s="12" t="s">
        <v>40</v>
      </c>
      <c r="E353" s="61" t="s">
        <v>5412</v>
      </c>
      <c r="F353" s="121" t="s">
        <v>5413</v>
      </c>
      <c r="G353" s="118"/>
      <c r="H353" s="192" t="str">
        <f t="shared" ref="H353:K353" si="343">lower(C353)</f>
        <v>lostfollowupanyquestioncompletechartreview</v>
      </c>
      <c r="I353" s="192" t="str">
        <f t="shared" si="343"/>
        <v>bool</v>
      </c>
      <c r="J353" s="192" t="str">
        <f t="shared" si="343"/>
        <v>were any question completed from chart review?</v>
      </c>
      <c r="K353" s="192" t="str">
        <f t="shared" si="343"/>
        <v>lost_follow_up_any_question_complete_chart_review</v>
      </c>
      <c r="L353" s="193"/>
      <c r="M353" s="193"/>
      <c r="N353" s="193"/>
      <c r="O353" s="193"/>
      <c r="P353" s="194" t="s">
        <v>5414</v>
      </c>
      <c r="Q353" s="194" t="s">
        <v>5414</v>
      </c>
    </row>
    <row r="354">
      <c r="A354" s="33"/>
      <c r="B354" s="33" t="s">
        <v>5374</v>
      </c>
      <c r="C354" s="12" t="s">
        <v>5415</v>
      </c>
      <c r="D354" s="12" t="s">
        <v>26</v>
      </c>
      <c r="E354" s="61" t="s">
        <v>5416</v>
      </c>
      <c r="F354" s="121" t="s">
        <v>5417</v>
      </c>
      <c r="G354" s="118"/>
      <c r="H354" s="192" t="str">
        <f t="shared" ref="H354:K354" si="344">lower(C354)</f>
        <v>lostfollowupchartreviewdate</v>
      </c>
      <c r="I354" s="192" t="str">
        <f t="shared" si="344"/>
        <v>date</v>
      </c>
      <c r="J354" s="192" t="str">
        <f t="shared" si="344"/>
        <v>date of chart review</v>
      </c>
      <c r="K354" s="192" t="str">
        <f t="shared" si="344"/>
        <v>lost_follow_up_chart_review_date</v>
      </c>
      <c r="L354" s="193"/>
      <c r="M354" s="193"/>
      <c r="N354" s="193"/>
      <c r="O354" s="193"/>
      <c r="P354" s="194" t="s">
        <v>5418</v>
      </c>
      <c r="Q354" s="194" t="s">
        <v>5418</v>
      </c>
    </row>
    <row r="355">
      <c r="A355" s="33"/>
      <c r="B355" s="33" t="s">
        <v>5374</v>
      </c>
      <c r="C355" s="12" t="s">
        <v>5419</v>
      </c>
      <c r="D355" s="12" t="s">
        <v>31</v>
      </c>
      <c r="E355" s="61" t="s">
        <v>5420</v>
      </c>
      <c r="F355" s="121" t="s">
        <v>8521</v>
      </c>
      <c r="G355" s="118"/>
      <c r="H355" s="192" t="str">
        <f t="shared" ref="H355:K355" si="345">lower(C355)</f>
        <v>lostfollowupchartreviewcorrectedage_mo</v>
      </c>
      <c r="I355" s="192" t="str">
        <f t="shared" si="345"/>
        <v>int</v>
      </c>
      <c r="J355" s="192" t="str">
        <f t="shared" si="345"/>
        <v>corrected age of the child at the time of chart review</v>
      </c>
      <c r="K355" s="192" t="str">
        <f t="shared" si="345"/>
        <v>lost_follow_up_chart_review_corrected_age</v>
      </c>
      <c r="L355" s="193"/>
      <c r="M355" s="193"/>
      <c r="N355" s="193"/>
      <c r="O355" s="193"/>
      <c r="P355" s="194" t="s">
        <v>5422</v>
      </c>
      <c r="Q355" s="194" t="s">
        <v>5422</v>
      </c>
    </row>
    <row r="356">
      <c r="A356" s="33"/>
      <c r="B356" s="33" t="s">
        <v>5374</v>
      </c>
      <c r="C356" s="12" t="s">
        <v>5423</v>
      </c>
      <c r="D356" s="12" t="s">
        <v>5424</v>
      </c>
      <c r="E356" s="61" t="s">
        <v>5425</v>
      </c>
      <c r="F356" s="121" t="s">
        <v>5426</v>
      </c>
      <c r="G356" s="118"/>
      <c r="H356" s="192" t="str">
        <f t="shared" ref="H356:K356" si="346">lower(C356)</f>
        <v>interviewchildhealth</v>
      </c>
      <c r="I356" s="192" t="str">
        <f t="shared" si="346"/>
        <v>childhealth</v>
      </c>
      <c r="J356" s="192" t="str">
        <f t="shared" si="346"/>
        <v>child's health</v>
      </c>
      <c r="K356" s="192" t="str">
        <f t="shared" si="346"/>
        <v>interview_child_health</v>
      </c>
      <c r="L356" s="193"/>
      <c r="M356" s="193"/>
      <c r="N356" s="193"/>
      <c r="O356" s="193"/>
      <c r="P356" s="194" t="s">
        <v>5427</v>
      </c>
      <c r="Q356" s="194" t="s">
        <v>5427</v>
      </c>
    </row>
    <row r="357">
      <c r="A357" s="33"/>
      <c r="B357" s="33" t="s">
        <v>5374</v>
      </c>
      <c r="C357" s="12" t="s">
        <v>5428</v>
      </c>
      <c r="D357" s="12" t="s">
        <v>40</v>
      </c>
      <c r="E357" s="61" t="s">
        <v>5429</v>
      </c>
      <c r="F357" s="121" t="s">
        <v>5430</v>
      </c>
      <c r="G357" s="118"/>
      <c r="H357" s="192" t="str">
        <f t="shared" ref="H357:K357" si="347">lower(C357)</f>
        <v>interviewwalkalone</v>
      </c>
      <c r="I357" s="192" t="str">
        <f t="shared" si="347"/>
        <v>bool</v>
      </c>
      <c r="J357" s="192" t="str">
        <f t="shared" si="347"/>
        <v>walking alone?</v>
      </c>
      <c r="K357" s="192" t="str">
        <f t="shared" si="347"/>
        <v>interview_walk_alone</v>
      </c>
      <c r="L357" s="193"/>
      <c r="M357" s="193"/>
      <c r="N357" s="193"/>
      <c r="O357" s="193"/>
      <c r="P357" s="194" t="s">
        <v>5431</v>
      </c>
      <c r="Q357" s="194" t="s">
        <v>5431</v>
      </c>
    </row>
    <row r="358">
      <c r="A358" s="33"/>
      <c r="B358" s="33" t="s">
        <v>5374</v>
      </c>
      <c r="C358" s="12" t="s">
        <v>5432</v>
      </c>
      <c r="D358" s="12" t="s">
        <v>31</v>
      </c>
      <c r="E358" s="61" t="s">
        <v>5433</v>
      </c>
      <c r="F358" s="121" t="s">
        <v>8522</v>
      </c>
      <c r="G358" s="118"/>
      <c r="H358" s="192" t="str">
        <f t="shared" ref="H358:K358" si="348">lower(C358)</f>
        <v>interviewwalkaloneage_mo</v>
      </c>
      <c r="I358" s="192" t="str">
        <f t="shared" si="348"/>
        <v>int</v>
      </c>
      <c r="J358" s="192" t="str">
        <f t="shared" si="348"/>
        <v>what age did child start walking independently?</v>
      </c>
      <c r="K358" s="192" t="str">
        <f t="shared" si="348"/>
        <v>interview_walk_alone_age</v>
      </c>
      <c r="L358" s="193"/>
      <c r="M358" s="193"/>
      <c r="N358" s="193"/>
      <c r="O358" s="193"/>
      <c r="P358" s="194" t="s">
        <v>5435</v>
      </c>
      <c r="Q358" s="194" t="s">
        <v>5435</v>
      </c>
    </row>
    <row r="359">
      <c r="A359" s="33"/>
      <c r="B359" s="33" t="s">
        <v>5374</v>
      </c>
      <c r="C359" s="12" t="s">
        <v>5436</v>
      </c>
      <c r="D359" s="12" t="s">
        <v>40</v>
      </c>
      <c r="E359" s="61" t="s">
        <v>5437</v>
      </c>
      <c r="F359" s="121" t="s">
        <v>5438</v>
      </c>
      <c r="G359" s="118"/>
      <c r="H359" s="192" t="str">
        <f t="shared" ref="H359:K359" si="349">lower(C359)</f>
        <v>interviewsittingalong</v>
      </c>
      <c r="I359" s="192" t="str">
        <f t="shared" si="349"/>
        <v>bool</v>
      </c>
      <c r="J359" s="192" t="str">
        <f t="shared" si="349"/>
        <v>sitting along without support?</v>
      </c>
      <c r="K359" s="192" t="str">
        <f t="shared" si="349"/>
        <v>interview_sitting_along</v>
      </c>
      <c r="L359" s="193"/>
      <c r="M359" s="193"/>
      <c r="N359" s="193"/>
      <c r="O359" s="193"/>
      <c r="P359" s="194" t="s">
        <v>5439</v>
      </c>
      <c r="Q359" s="194" t="s">
        <v>5439</v>
      </c>
    </row>
    <row r="360">
      <c r="A360" s="33"/>
      <c r="B360" s="33" t="s">
        <v>5374</v>
      </c>
      <c r="C360" s="12" t="s">
        <v>5440</v>
      </c>
      <c r="D360" s="12" t="s">
        <v>40</v>
      </c>
      <c r="E360" s="61" t="s">
        <v>5441</v>
      </c>
      <c r="F360" s="121" t="s">
        <v>5442</v>
      </c>
      <c r="G360" s="118"/>
      <c r="H360" s="192" t="str">
        <f t="shared" ref="H360:K360" si="350">lower(C360)</f>
        <v>interviewheadcontrol</v>
      </c>
      <c r="I360" s="192" t="str">
        <f t="shared" si="350"/>
        <v>bool</v>
      </c>
      <c r="J360" s="192" t="str">
        <f t="shared" si="350"/>
        <v>have head control?</v>
      </c>
      <c r="K360" s="192" t="str">
        <f t="shared" si="350"/>
        <v>interview_head_control</v>
      </c>
      <c r="L360" s="193"/>
      <c r="M360" s="193"/>
      <c r="N360" s="193"/>
      <c r="O360" s="193"/>
      <c r="P360" s="194" t="s">
        <v>5443</v>
      </c>
      <c r="Q360" s="194" t="s">
        <v>5443</v>
      </c>
    </row>
    <row r="361">
      <c r="A361" s="33"/>
      <c r="B361" s="33" t="s">
        <v>5374</v>
      </c>
      <c r="C361" s="12" t="s">
        <v>5444</v>
      </c>
      <c r="D361" s="12" t="s">
        <v>40</v>
      </c>
      <c r="E361" s="61" t="s">
        <v>5445</v>
      </c>
      <c r="F361" s="121" t="s">
        <v>5446</v>
      </c>
      <c r="G361" s="118"/>
      <c r="H361" s="192" t="str">
        <f t="shared" ref="H361:K361" si="351">lower(C361)</f>
        <v>interviewsee</v>
      </c>
      <c r="I361" s="192" t="str">
        <f t="shared" si="351"/>
        <v>bool</v>
      </c>
      <c r="J361" s="192" t="str">
        <f t="shared" si="351"/>
        <v>see?</v>
      </c>
      <c r="K361" s="192" t="str">
        <f t="shared" si="351"/>
        <v>interview_see</v>
      </c>
      <c r="L361" s="193"/>
      <c r="M361" s="193"/>
      <c r="N361" s="193"/>
      <c r="O361" s="193"/>
      <c r="P361" s="194" t="s">
        <v>5447</v>
      </c>
      <c r="Q361" s="194" t="s">
        <v>5447</v>
      </c>
    </row>
    <row r="362">
      <c r="A362" s="33"/>
      <c r="B362" s="33" t="s">
        <v>5374</v>
      </c>
      <c r="C362" s="12" t="s">
        <v>5448</v>
      </c>
      <c r="D362" s="12" t="s">
        <v>40</v>
      </c>
      <c r="E362" s="61" t="s">
        <v>5449</v>
      </c>
      <c r="F362" s="121" t="s">
        <v>5450</v>
      </c>
      <c r="G362" s="118"/>
      <c r="H362" s="192" t="str">
        <f t="shared" ref="H362:K362" si="352">lower(C362)</f>
        <v>intervieweyeexam</v>
      </c>
      <c r="I362" s="192" t="str">
        <f t="shared" si="352"/>
        <v>bool</v>
      </c>
      <c r="J362" s="192" t="str">
        <f t="shared" si="352"/>
        <v>had an eye exam since initial discharge?</v>
      </c>
      <c r="K362" s="192" t="str">
        <f t="shared" si="352"/>
        <v>interview_eye_exam</v>
      </c>
      <c r="L362" s="193"/>
      <c r="M362" s="193"/>
      <c r="N362" s="193"/>
      <c r="O362" s="193"/>
      <c r="P362" s="194" t="s">
        <v>5451</v>
      </c>
      <c r="Q362" s="194" t="s">
        <v>5451</v>
      </c>
    </row>
    <row r="363">
      <c r="A363" s="33"/>
      <c r="B363" s="33" t="s">
        <v>5374</v>
      </c>
      <c r="C363" s="12" t="s">
        <v>5452</v>
      </c>
      <c r="D363" s="12" t="s">
        <v>40</v>
      </c>
      <c r="E363" s="61" t="s">
        <v>5453</v>
      </c>
      <c r="F363" s="121" t="s">
        <v>5454</v>
      </c>
      <c r="G363" s="118"/>
      <c r="H363" s="192" t="str">
        <f t="shared" ref="H363:K363" si="353">lower(C363)</f>
        <v>interviewneedwearglasses</v>
      </c>
      <c r="I363" s="192" t="str">
        <f t="shared" si="353"/>
        <v>bool</v>
      </c>
      <c r="J363" s="192" t="str">
        <f t="shared" si="353"/>
        <v>need or wear glasses?</v>
      </c>
      <c r="K363" s="192" t="str">
        <f t="shared" si="353"/>
        <v>interview_need_wear_glasses</v>
      </c>
      <c r="L363" s="193"/>
      <c r="M363" s="193"/>
      <c r="N363" s="193"/>
      <c r="O363" s="193"/>
      <c r="P363" s="194" t="s">
        <v>5455</v>
      </c>
      <c r="Q363" s="194" t="s">
        <v>5455</v>
      </c>
    </row>
    <row r="364">
      <c r="A364" s="33"/>
      <c r="B364" s="33" t="s">
        <v>5374</v>
      </c>
      <c r="C364" s="12" t="s">
        <v>5456</v>
      </c>
      <c r="D364" s="12" t="s">
        <v>40</v>
      </c>
      <c r="E364" s="61" t="s">
        <v>5457</v>
      </c>
      <c r="F364" s="121" t="s">
        <v>5458</v>
      </c>
      <c r="G364" s="118"/>
      <c r="H364" s="192" t="str">
        <f t="shared" ref="H364:K364" si="354">lower(C364)</f>
        <v>interviewhear</v>
      </c>
      <c r="I364" s="192" t="str">
        <f t="shared" si="354"/>
        <v>bool</v>
      </c>
      <c r="J364" s="192" t="str">
        <f t="shared" si="354"/>
        <v>hear?</v>
      </c>
      <c r="K364" s="192" t="str">
        <f t="shared" si="354"/>
        <v>interview_hear</v>
      </c>
      <c r="L364" s="193"/>
      <c r="M364" s="193"/>
      <c r="N364" s="193"/>
      <c r="O364" s="193"/>
      <c r="P364" s="194" t="s">
        <v>5459</v>
      </c>
      <c r="Q364" s="194" t="s">
        <v>5459</v>
      </c>
    </row>
    <row r="365">
      <c r="A365" s="33"/>
      <c r="B365" s="33" t="s">
        <v>5374</v>
      </c>
      <c r="C365" s="12" t="s">
        <v>5460</v>
      </c>
      <c r="D365" s="12" t="s">
        <v>40</v>
      </c>
      <c r="E365" s="61" t="s">
        <v>5461</v>
      </c>
      <c r="F365" s="121" t="s">
        <v>5462</v>
      </c>
      <c r="G365" s="118"/>
      <c r="H365" s="192" t="str">
        <f t="shared" ref="H365:K365" si="355">lower(C365)</f>
        <v>interviewhearexam</v>
      </c>
      <c r="I365" s="192" t="str">
        <f t="shared" si="355"/>
        <v>bool</v>
      </c>
      <c r="J365" s="192" t="str">
        <f t="shared" si="355"/>
        <v>had a hear exam since initial discharge?</v>
      </c>
      <c r="K365" s="192" t="str">
        <f t="shared" si="355"/>
        <v>interview_hear_exam</v>
      </c>
      <c r="L365" s="193"/>
      <c r="M365" s="193"/>
      <c r="N365" s="193"/>
      <c r="O365" s="193"/>
      <c r="P365" s="194" t="s">
        <v>5463</v>
      </c>
      <c r="Q365" s="194" t="s">
        <v>5463</v>
      </c>
    </row>
    <row r="366">
      <c r="A366" s="33"/>
      <c r="B366" s="33" t="s">
        <v>5374</v>
      </c>
      <c r="C366" s="12" t="s">
        <v>5464</v>
      </c>
      <c r="D366" s="12" t="s">
        <v>40</v>
      </c>
      <c r="E366" s="61" t="s">
        <v>5465</v>
      </c>
      <c r="F366" s="121" t="s">
        <v>5466</v>
      </c>
      <c r="G366" s="118"/>
      <c r="H366" s="192" t="str">
        <f t="shared" ref="H366:K366" si="356">lower(C366)</f>
        <v>interviewneedwearhearingaid</v>
      </c>
      <c r="I366" s="192" t="str">
        <f t="shared" si="356"/>
        <v>bool</v>
      </c>
      <c r="J366" s="192" t="str">
        <f t="shared" si="356"/>
        <v>need or wear a hearing aid(s)?</v>
      </c>
      <c r="K366" s="192" t="str">
        <f t="shared" si="356"/>
        <v>interview_need_wear_hearing_aid</v>
      </c>
      <c r="L366" s="193"/>
      <c r="M366" s="193"/>
      <c r="N366" s="193"/>
      <c r="O366" s="193"/>
      <c r="P366" s="194" t="s">
        <v>5467</v>
      </c>
      <c r="Q366" s="194" t="s">
        <v>5467</v>
      </c>
    </row>
    <row r="367">
      <c r="A367" s="33"/>
      <c r="B367" s="33" t="s">
        <v>5374</v>
      </c>
      <c r="C367" s="12" t="s">
        <v>5468</v>
      </c>
      <c r="D367" s="12" t="s">
        <v>31</v>
      </c>
      <c r="E367" s="61" t="s">
        <v>5469</v>
      </c>
      <c r="F367" s="121" t="s">
        <v>5470</v>
      </c>
      <c r="G367" s="118"/>
      <c r="H367" s="192" t="str">
        <f t="shared" ref="H367:K367" si="357">lower(C367)</f>
        <v>interviewnumberwordvocabulary</v>
      </c>
      <c r="I367" s="192" t="str">
        <f t="shared" si="357"/>
        <v>int</v>
      </c>
      <c r="J367" s="192" t="str">
        <f t="shared" si="357"/>
        <v>estimate number of words in child's vocabulary</v>
      </c>
      <c r="K367" s="192" t="str">
        <f t="shared" si="357"/>
        <v>interview_number_word_vocabulary</v>
      </c>
      <c r="L367" s="193"/>
      <c r="M367" s="193"/>
      <c r="N367" s="193"/>
      <c r="O367" s="193"/>
      <c r="P367" s="194" t="s">
        <v>5471</v>
      </c>
      <c r="Q367" s="194" t="s">
        <v>5471</v>
      </c>
    </row>
    <row r="368">
      <c r="A368" s="33"/>
      <c r="B368" s="33" t="s">
        <v>5374</v>
      </c>
      <c r="C368" s="12" t="s">
        <v>5472</v>
      </c>
      <c r="D368" s="12" t="s">
        <v>40</v>
      </c>
      <c r="E368" s="61" t="s">
        <v>5473</v>
      </c>
      <c r="F368" s="121" t="s">
        <v>5474</v>
      </c>
      <c r="G368" s="118"/>
      <c r="H368" s="192" t="str">
        <f t="shared" ref="H368:K368" si="358">lower(C368)</f>
        <v>interviewcombine2words</v>
      </c>
      <c r="I368" s="192" t="str">
        <f t="shared" si="358"/>
        <v>bool</v>
      </c>
      <c r="J368" s="192" t="str">
        <f t="shared" si="358"/>
        <v>combine 2 words?</v>
      </c>
      <c r="K368" s="192" t="str">
        <f t="shared" si="358"/>
        <v>interview_combine2words</v>
      </c>
      <c r="L368" s="193"/>
      <c r="M368" s="193"/>
      <c r="N368" s="193"/>
      <c r="O368" s="193"/>
      <c r="P368" s="194" t="s">
        <v>5475</v>
      </c>
      <c r="Q368" s="194" t="s">
        <v>5475</v>
      </c>
    </row>
    <row r="369">
      <c r="A369" s="33"/>
      <c r="B369" s="33" t="s">
        <v>5374</v>
      </c>
      <c r="C369" s="12" t="s">
        <v>5476</v>
      </c>
      <c r="D369" s="12" t="s">
        <v>40</v>
      </c>
      <c r="E369" s="61" t="s">
        <v>5477</v>
      </c>
      <c r="F369" s="121" t="s">
        <v>5478</v>
      </c>
      <c r="G369" s="118"/>
      <c r="H369" s="192" t="str">
        <f t="shared" ref="H369:K369" si="359">lower(C369)</f>
        <v>interviewcombine3words</v>
      </c>
      <c r="I369" s="192" t="str">
        <f t="shared" si="359"/>
        <v>bool</v>
      </c>
      <c r="J369" s="192" t="str">
        <f t="shared" si="359"/>
        <v>combine 3 words?</v>
      </c>
      <c r="K369" s="192" t="str">
        <f t="shared" si="359"/>
        <v>interview_combine3words</v>
      </c>
      <c r="L369" s="193"/>
      <c r="M369" s="193"/>
      <c r="N369" s="193"/>
      <c r="O369" s="193"/>
      <c r="P369" s="194" t="s">
        <v>5479</v>
      </c>
      <c r="Q369" s="194" t="s">
        <v>5479</v>
      </c>
    </row>
    <row r="370">
      <c r="A370" s="33"/>
      <c r="B370" s="33" t="s">
        <v>5374</v>
      </c>
      <c r="C370" s="12" t="s">
        <v>5480</v>
      </c>
      <c r="D370" s="12" t="s">
        <v>40</v>
      </c>
      <c r="E370" s="61" t="s">
        <v>5481</v>
      </c>
      <c r="F370" s="121" t="s">
        <v>5482</v>
      </c>
      <c r="G370" s="118"/>
      <c r="H370" s="192" t="str">
        <f t="shared" ref="H370:K370" si="360">lower(C370)</f>
        <v>interviewhydrocephalusshunt</v>
      </c>
      <c r="I370" s="192" t="str">
        <f t="shared" si="360"/>
        <v>bool</v>
      </c>
      <c r="J370" s="192" t="str">
        <f t="shared" si="360"/>
        <v>hydrocephalus treated with a shunt?</v>
      </c>
      <c r="K370" s="192" t="str">
        <f t="shared" si="360"/>
        <v>interview_hydrocephalus_shunt</v>
      </c>
      <c r="L370" s="193"/>
      <c r="M370" s="193"/>
      <c r="N370" s="193"/>
      <c r="O370" s="193"/>
      <c r="P370" s="194" t="s">
        <v>5483</v>
      </c>
      <c r="Q370" s="194" t="s">
        <v>5483</v>
      </c>
    </row>
    <row r="371">
      <c r="A371" s="33"/>
      <c r="B371" s="33" t="s">
        <v>5374</v>
      </c>
      <c r="C371" s="12" t="s">
        <v>5484</v>
      </c>
      <c r="D371" s="12" t="s">
        <v>40</v>
      </c>
      <c r="E371" s="61" t="s">
        <v>5485</v>
      </c>
      <c r="F371" s="121" t="s">
        <v>5486</v>
      </c>
      <c r="G371" s="118"/>
      <c r="H371" s="192" t="str">
        <f t="shared" ref="H371:K371" si="361">lower(C371)</f>
        <v>interviewcerebralpalsy</v>
      </c>
      <c r="I371" s="192" t="str">
        <f t="shared" si="361"/>
        <v>bool</v>
      </c>
      <c r="J371" s="192" t="str">
        <f t="shared" si="361"/>
        <v>cerebral palsy?</v>
      </c>
      <c r="K371" s="192" t="str">
        <f t="shared" si="361"/>
        <v>interview_cerebral_palsy</v>
      </c>
      <c r="L371" s="193"/>
      <c r="M371" s="193"/>
      <c r="N371" s="193"/>
      <c r="O371" s="193"/>
      <c r="P371" s="194" t="s">
        <v>5487</v>
      </c>
      <c r="Q371" s="194" t="s">
        <v>5487</v>
      </c>
    </row>
    <row r="372">
      <c r="A372" s="33"/>
      <c r="B372" s="33" t="s">
        <v>5374</v>
      </c>
      <c r="C372" s="12" t="s">
        <v>5488</v>
      </c>
      <c r="D372" s="12" t="s">
        <v>40</v>
      </c>
      <c r="E372" s="61" t="s">
        <v>5489</v>
      </c>
      <c r="F372" s="121" t="s">
        <v>5490</v>
      </c>
      <c r="G372" s="118"/>
      <c r="H372" s="192" t="str">
        <f t="shared" ref="H372:K372" si="362">lower(C372)</f>
        <v>interviewdevelopmentaldelay</v>
      </c>
      <c r="I372" s="192" t="str">
        <f t="shared" si="362"/>
        <v>bool</v>
      </c>
      <c r="J372" s="192" t="str">
        <f t="shared" si="362"/>
        <v>developmental delay?</v>
      </c>
      <c r="K372" s="192" t="str">
        <f t="shared" si="362"/>
        <v>interview_developmental_delay</v>
      </c>
      <c r="L372" s="193"/>
      <c r="M372" s="193"/>
      <c r="N372" s="193"/>
      <c r="O372" s="193"/>
      <c r="P372" s="194" t="s">
        <v>5491</v>
      </c>
      <c r="Q372" s="194" t="s">
        <v>5491</v>
      </c>
    </row>
    <row r="373">
      <c r="A373" s="33"/>
      <c r="B373" s="33" t="s">
        <v>5374</v>
      </c>
      <c r="C373" s="12" t="s">
        <v>5492</v>
      </c>
      <c r="D373" s="12" t="s">
        <v>40</v>
      </c>
      <c r="E373" s="61" t="s">
        <v>5493</v>
      </c>
      <c r="F373" s="121" t="s">
        <v>5494</v>
      </c>
      <c r="G373" s="118"/>
      <c r="H373" s="192" t="str">
        <f t="shared" ref="H373:K373" si="363">lower(C373)</f>
        <v>interviewlanguagedelay</v>
      </c>
      <c r="I373" s="192" t="str">
        <f t="shared" si="363"/>
        <v>bool</v>
      </c>
      <c r="J373" s="192" t="str">
        <f t="shared" si="363"/>
        <v>language delay?</v>
      </c>
      <c r="K373" s="192" t="str">
        <f t="shared" si="363"/>
        <v>interview_language_delay</v>
      </c>
      <c r="L373" s="193"/>
      <c r="M373" s="193"/>
      <c r="N373" s="193"/>
      <c r="O373" s="193"/>
      <c r="P373" s="194" t="s">
        <v>5495</v>
      </c>
      <c r="Q373" s="194" t="s">
        <v>5495</v>
      </c>
    </row>
    <row r="374">
      <c r="A374" s="33"/>
      <c r="B374" s="33" t="s">
        <v>5374</v>
      </c>
      <c r="C374" s="12" t="s">
        <v>5496</v>
      </c>
      <c r="D374" s="12" t="s">
        <v>40</v>
      </c>
      <c r="E374" s="61" t="s">
        <v>5497</v>
      </c>
      <c r="F374" s="121" t="s">
        <v>5498</v>
      </c>
      <c r="G374" s="118"/>
      <c r="H374" s="192" t="str">
        <f t="shared" ref="H374:K374" si="364">lower(C374)</f>
        <v>interviewpoorweightgain</v>
      </c>
      <c r="I374" s="192" t="str">
        <f t="shared" si="364"/>
        <v>bool</v>
      </c>
      <c r="J374" s="192" t="str">
        <f t="shared" si="364"/>
        <v>poor weight gain?</v>
      </c>
      <c r="K374" s="192" t="str">
        <f t="shared" si="364"/>
        <v>interview_poor_weight_gain</v>
      </c>
      <c r="L374" s="193"/>
      <c r="M374" s="193"/>
      <c r="N374" s="193"/>
      <c r="O374" s="193"/>
      <c r="P374" s="194" t="s">
        <v>5499</v>
      </c>
      <c r="Q374" s="194" t="s">
        <v>5499</v>
      </c>
    </row>
    <row r="375">
      <c r="A375" s="33"/>
      <c r="B375" s="33" t="s">
        <v>5374</v>
      </c>
      <c r="C375" s="12" t="s">
        <v>5500</v>
      </c>
      <c r="D375" s="12" t="s">
        <v>40</v>
      </c>
      <c r="E375" s="61" t="s">
        <v>5501</v>
      </c>
      <c r="F375" s="121" t="s">
        <v>5502</v>
      </c>
      <c r="G375" s="118"/>
      <c r="H375" s="192" t="str">
        <f t="shared" ref="H375:K375" si="365">lower(C375)</f>
        <v>interviewseizure</v>
      </c>
      <c r="I375" s="192" t="str">
        <f t="shared" si="365"/>
        <v>bool</v>
      </c>
      <c r="J375" s="192" t="str">
        <f t="shared" si="365"/>
        <v>seizures since discharge?</v>
      </c>
      <c r="K375" s="192" t="str">
        <f t="shared" si="365"/>
        <v>interview_seizure</v>
      </c>
      <c r="L375" s="193"/>
      <c r="M375" s="193"/>
      <c r="N375" s="193"/>
      <c r="O375" s="193"/>
      <c r="P375" s="194" t="s">
        <v>5503</v>
      </c>
      <c r="Q375" s="194" t="s">
        <v>5503</v>
      </c>
    </row>
    <row r="376">
      <c r="A376" s="33"/>
      <c r="B376" s="33" t="s">
        <v>5374</v>
      </c>
      <c r="C376" s="12" t="s">
        <v>5504</v>
      </c>
      <c r="D376" s="12" t="s">
        <v>40</v>
      </c>
      <c r="E376" s="61" t="s">
        <v>5505</v>
      </c>
      <c r="F376" s="121" t="s">
        <v>5506</v>
      </c>
      <c r="G376" s="118"/>
      <c r="H376" s="192" t="str">
        <f t="shared" ref="H376:K376" si="366">lower(C376)</f>
        <v>interviewblindness</v>
      </c>
      <c r="I376" s="192" t="str">
        <f t="shared" si="366"/>
        <v>bool</v>
      </c>
      <c r="J376" s="192" t="str">
        <f t="shared" si="366"/>
        <v>blindness?</v>
      </c>
      <c r="K376" s="192" t="str">
        <f t="shared" si="366"/>
        <v>interview_blindness</v>
      </c>
      <c r="L376" s="193"/>
      <c r="M376" s="193"/>
      <c r="N376" s="193"/>
      <c r="O376" s="193"/>
      <c r="P376" s="194" t="s">
        <v>5507</v>
      </c>
      <c r="Q376" s="194" t="s">
        <v>5507</v>
      </c>
    </row>
    <row r="377">
      <c r="A377" s="33"/>
      <c r="B377" s="33" t="s">
        <v>5374</v>
      </c>
      <c r="C377" s="12" t="s">
        <v>5508</v>
      </c>
      <c r="D377" s="12" t="s">
        <v>40</v>
      </c>
      <c r="E377" s="61" t="s">
        <v>5509</v>
      </c>
      <c r="F377" s="121" t="s">
        <v>5510</v>
      </c>
      <c r="G377" s="118"/>
      <c r="H377" s="192" t="str">
        <f t="shared" ref="H377:K377" si="367">lower(C377)</f>
        <v>interviewotherbehaviorproblem</v>
      </c>
      <c r="I377" s="192" t="str">
        <f t="shared" si="367"/>
        <v>bool</v>
      </c>
      <c r="J377" s="192" t="str">
        <f t="shared" si="367"/>
        <v>other behavior problems?</v>
      </c>
      <c r="K377" s="192" t="str">
        <f t="shared" si="367"/>
        <v>interview_other_behavior_problem</v>
      </c>
      <c r="L377" s="193"/>
      <c r="M377" s="193"/>
      <c r="N377" s="193"/>
      <c r="O377" s="193"/>
      <c r="P377" s="194" t="s">
        <v>5511</v>
      </c>
      <c r="Q377" s="194" t="s">
        <v>5511</v>
      </c>
    </row>
    <row r="378">
      <c r="A378" s="33"/>
      <c r="B378" s="33" t="s">
        <v>5374</v>
      </c>
      <c r="C378" s="12" t="s">
        <v>5512</v>
      </c>
      <c r="D378" s="12" t="s">
        <v>16</v>
      </c>
      <c r="E378" s="61" t="s">
        <v>5513</v>
      </c>
      <c r="F378" s="121" t="s">
        <v>5514</v>
      </c>
      <c r="G378" s="118"/>
      <c r="H378" s="192" t="str">
        <f t="shared" ref="H378:K378" si="368">lower(C378)</f>
        <v>interviewotherbehaviorproblemtext</v>
      </c>
      <c r="I378" s="192" t="str">
        <f t="shared" si="368"/>
        <v>text</v>
      </c>
      <c r="J378" s="192" t="str">
        <f t="shared" si="368"/>
        <v>other behavior problems - specify</v>
      </c>
      <c r="K378" s="192" t="str">
        <f t="shared" si="368"/>
        <v>interview_other_behavior_problem_text</v>
      </c>
      <c r="L378" s="193"/>
      <c r="M378" s="193"/>
      <c r="N378" s="193"/>
      <c r="O378" s="193"/>
      <c r="P378" s="194" t="s">
        <v>5515</v>
      </c>
      <c r="Q378" s="194" t="s">
        <v>5515</v>
      </c>
    </row>
    <row r="379">
      <c r="A379" s="33"/>
      <c r="B379" s="33" t="s">
        <v>5374</v>
      </c>
      <c r="C379" s="12" t="s">
        <v>5516</v>
      </c>
      <c r="D379" s="12" t="s">
        <v>40</v>
      </c>
      <c r="E379" s="61" t="s">
        <v>5517</v>
      </c>
      <c r="F379" s="121" t="s">
        <v>5518</v>
      </c>
      <c r="G379" s="118"/>
      <c r="H379" s="192" t="str">
        <f t="shared" ref="H379:K379" si="369">lower(C379)</f>
        <v>interviewothermajormedicalproblem</v>
      </c>
      <c r="I379" s="192" t="str">
        <f t="shared" si="369"/>
        <v>bool</v>
      </c>
      <c r="J379" s="192" t="str">
        <f t="shared" si="369"/>
        <v>other major medical problems?</v>
      </c>
      <c r="K379" s="192" t="str">
        <f t="shared" si="369"/>
        <v>interview_other_major_medical_problem</v>
      </c>
      <c r="L379" s="193"/>
      <c r="M379" s="193"/>
      <c r="N379" s="193"/>
      <c r="O379" s="193"/>
      <c r="P379" s="194" t="s">
        <v>5519</v>
      </c>
      <c r="Q379" s="194" t="s">
        <v>5519</v>
      </c>
    </row>
    <row r="380">
      <c r="A380" s="33"/>
      <c r="B380" s="33" t="s">
        <v>5374</v>
      </c>
      <c r="C380" s="12" t="s">
        <v>5520</v>
      </c>
      <c r="D380" s="12" t="s">
        <v>16</v>
      </c>
      <c r="E380" s="61" t="s">
        <v>5521</v>
      </c>
      <c r="F380" s="121" t="s">
        <v>5522</v>
      </c>
      <c r="G380" s="118"/>
      <c r="H380" s="192" t="str">
        <f t="shared" ref="H380:K380" si="370">lower(C380)</f>
        <v>interviewothermajormedicalproblemtext</v>
      </c>
      <c r="I380" s="192" t="str">
        <f t="shared" si="370"/>
        <v>text</v>
      </c>
      <c r="J380" s="192" t="str">
        <f t="shared" si="370"/>
        <v>other major medical problems - specify</v>
      </c>
      <c r="K380" s="192" t="str">
        <f t="shared" si="370"/>
        <v>interview_other_major_medical_problem_text</v>
      </c>
      <c r="L380" s="193"/>
      <c r="M380" s="193"/>
      <c r="N380" s="193"/>
      <c r="O380" s="193"/>
      <c r="P380" s="194" t="s">
        <v>5523</v>
      </c>
      <c r="Q380" s="194" t="s">
        <v>5523</v>
      </c>
    </row>
    <row r="381">
      <c r="A381" s="33"/>
      <c r="B381" s="33" t="s">
        <v>5374</v>
      </c>
      <c r="C381" s="12" t="s">
        <v>5524</v>
      </c>
      <c r="D381" s="12" t="s">
        <v>40</v>
      </c>
      <c r="E381" s="61" t="s">
        <v>5525</v>
      </c>
      <c r="F381" s="121" t="s">
        <v>5526</v>
      </c>
      <c r="G381" s="118"/>
      <c r="H381" s="192" t="str">
        <f t="shared" ref="H381:K381" si="371">lower(C381)</f>
        <v>interviewotherneuraldevelopmentalproblem</v>
      </c>
      <c r="I381" s="192" t="str">
        <f t="shared" si="371"/>
        <v>bool</v>
      </c>
      <c r="J381" s="192" t="str">
        <f t="shared" si="371"/>
        <v>other neuraldevelopmental problems?</v>
      </c>
      <c r="K381" s="192" t="str">
        <f t="shared" si="371"/>
        <v>interview_other_neuraldevelopmental_problem</v>
      </c>
      <c r="L381" s="193"/>
      <c r="M381" s="193"/>
      <c r="N381" s="193"/>
      <c r="O381" s="193"/>
      <c r="P381" s="194" t="s">
        <v>5527</v>
      </c>
      <c r="Q381" s="194" t="s">
        <v>5527</v>
      </c>
    </row>
    <row r="382">
      <c r="A382" s="33"/>
      <c r="B382" s="33" t="s">
        <v>5374</v>
      </c>
      <c r="C382" s="12" t="s">
        <v>5528</v>
      </c>
      <c r="D382" s="12" t="s">
        <v>16</v>
      </c>
      <c r="E382" s="61" t="s">
        <v>5529</v>
      </c>
      <c r="F382" s="121" t="s">
        <v>5530</v>
      </c>
      <c r="G382" s="118"/>
      <c r="H382" s="192" t="str">
        <f t="shared" ref="H382:K382" si="372">lower(C382)</f>
        <v>interviewotherneuraldevelopmentalproblemtext</v>
      </c>
      <c r="I382" s="192" t="str">
        <f t="shared" si="372"/>
        <v>text</v>
      </c>
      <c r="J382" s="192" t="str">
        <f t="shared" si="372"/>
        <v>other neuraldevelopmental problems - specify</v>
      </c>
      <c r="K382" s="192" t="str">
        <f t="shared" si="372"/>
        <v>interview_other_neuraldevelopmental_problem_text</v>
      </c>
      <c r="L382" s="193"/>
      <c r="M382" s="193"/>
      <c r="N382" s="193"/>
      <c r="O382" s="193"/>
      <c r="P382" s="194" t="s">
        <v>5531</v>
      </c>
      <c r="Q382" s="194" t="s">
        <v>5531</v>
      </c>
    </row>
    <row r="383">
      <c r="A383" s="33"/>
      <c r="B383" s="33" t="s">
        <v>5374</v>
      </c>
      <c r="C383" s="12" t="s">
        <v>5532</v>
      </c>
      <c r="D383" s="12" t="s">
        <v>5130</v>
      </c>
      <c r="E383" s="61" t="s">
        <v>5533</v>
      </c>
      <c r="F383" s="121" t="s">
        <v>5534</v>
      </c>
      <c r="G383" s="118"/>
      <c r="H383" s="192" t="str">
        <f t="shared" ref="H383:K383" si="373">lower(C383)</f>
        <v>interviewmotorgrossfunctionlevel</v>
      </c>
      <c r="I383" s="192" t="str">
        <f t="shared" si="373"/>
        <v>grossmotorfunctionlevel</v>
      </c>
      <c r="J383" s="192" t="str">
        <f t="shared" si="373"/>
        <v>gross motor function level from caretaker interview</v>
      </c>
      <c r="K383" s="192" t="str">
        <f t="shared" si="373"/>
        <v>interview_motor_gross_function_level</v>
      </c>
      <c r="L383" s="193"/>
      <c r="M383" s="193"/>
      <c r="N383" s="193"/>
      <c r="O383" s="193"/>
      <c r="P383" s="194"/>
      <c r="Q383" s="194" t="s">
        <v>5535</v>
      </c>
    </row>
    <row r="384">
      <c r="A384" s="33"/>
      <c r="B384" s="117"/>
      <c r="C384" s="118"/>
      <c r="D384" s="118"/>
      <c r="E384" s="61" t="s">
        <v>8523</v>
      </c>
      <c r="F384" s="121" t="s">
        <v>851</v>
      </c>
      <c r="G384" s="118"/>
      <c r="H384" s="192" t="str">
        <f t="shared" ref="H384:K384" si="374">lower(C384)</f>
        <v/>
      </c>
      <c r="I384" s="192" t="str">
        <f t="shared" si="374"/>
        <v/>
      </c>
      <c r="J384" s="192" t="str">
        <f t="shared" si="374"/>
        <v>initials of the interviewer</v>
      </c>
      <c r="K384" s="192" t="str">
        <f t="shared" si="374"/>
        <v/>
      </c>
      <c r="L384" s="193"/>
      <c r="M384" s="193"/>
      <c r="N384" s="193"/>
      <c r="O384" s="193"/>
      <c r="P384" s="194"/>
      <c r="Q384" s="194"/>
    </row>
    <row r="385">
      <c r="A385" s="33"/>
      <c r="B385" s="33"/>
      <c r="C385" s="118"/>
      <c r="D385" s="118"/>
      <c r="F385" s="121" t="s">
        <v>851</v>
      </c>
      <c r="G385" s="118"/>
      <c r="H385" s="192" t="str">
        <f t="shared" ref="H385:K385" si="375">lower(C385)</f>
        <v/>
      </c>
      <c r="I385" s="192" t="str">
        <f t="shared" si="375"/>
        <v/>
      </c>
      <c r="J385" s="192" t="str">
        <f t="shared" si="375"/>
        <v/>
      </c>
      <c r="K385" s="192" t="str">
        <f t="shared" si="375"/>
        <v/>
      </c>
      <c r="L385" s="193"/>
      <c r="M385" s="193"/>
      <c r="N385" s="193"/>
      <c r="O385" s="193"/>
      <c r="P385" s="193"/>
      <c r="Q385" s="193"/>
    </row>
    <row r="386">
      <c r="A386" s="33" t="s">
        <v>4205</v>
      </c>
      <c r="B386" s="33" t="s">
        <v>5374</v>
      </c>
      <c r="C386" s="12" t="s">
        <v>5536</v>
      </c>
      <c r="D386" s="12" t="s">
        <v>5537</v>
      </c>
      <c r="E386" s="61" t="s">
        <v>5538</v>
      </c>
      <c r="F386" s="121" t="s">
        <v>5539</v>
      </c>
      <c r="G386" s="118"/>
      <c r="H386" s="192" t="str">
        <f t="shared" ref="H386:K386" si="376">lower(C386)</f>
        <v>chartrevieweyeexam</v>
      </c>
      <c r="I386" s="192" t="str">
        <f t="shared" si="376"/>
        <v>chartreview</v>
      </c>
      <c r="J386" s="192" t="str">
        <f t="shared" si="376"/>
        <v>eye exam since initial discharge?</v>
      </c>
      <c r="K386" s="192" t="str">
        <f t="shared" si="376"/>
        <v>chart_review_eye_exam</v>
      </c>
      <c r="L386" s="193"/>
      <c r="M386" s="193"/>
      <c r="N386" s="193"/>
      <c r="O386" s="193"/>
      <c r="P386" s="194" t="s">
        <v>5540</v>
      </c>
      <c r="Q386" s="194" t="s">
        <v>5540</v>
      </c>
    </row>
    <row r="387">
      <c r="A387" s="33"/>
      <c r="B387" s="33" t="s">
        <v>5374</v>
      </c>
      <c r="C387" s="12" t="s">
        <v>5541</v>
      </c>
      <c r="D387" s="12" t="s">
        <v>5537</v>
      </c>
      <c r="E387" s="61" t="s">
        <v>5542</v>
      </c>
      <c r="F387" s="121" t="s">
        <v>5543</v>
      </c>
      <c r="G387" s="118"/>
      <c r="H387" s="192" t="str">
        <f t="shared" ref="H387:K387" si="377">lower(C387)</f>
        <v>chartreviewhearingexam</v>
      </c>
      <c r="I387" s="192" t="str">
        <f t="shared" si="377"/>
        <v>chartreview</v>
      </c>
      <c r="J387" s="192" t="str">
        <f t="shared" si="377"/>
        <v>hearing exam since initial discharge?</v>
      </c>
      <c r="K387" s="192" t="str">
        <f t="shared" si="377"/>
        <v>chart_review_hearing_exam</v>
      </c>
      <c r="L387" s="193"/>
      <c r="M387" s="193"/>
      <c r="N387" s="193"/>
      <c r="O387" s="193"/>
      <c r="P387" s="194" t="s">
        <v>5544</v>
      </c>
      <c r="Q387" s="194" t="s">
        <v>5544</v>
      </c>
    </row>
    <row r="388">
      <c r="A388" s="33"/>
      <c r="B388" s="33" t="s">
        <v>5374</v>
      </c>
      <c r="C388" s="12" t="s">
        <v>5545</v>
      </c>
      <c r="D388" s="12" t="s">
        <v>5537</v>
      </c>
      <c r="E388" s="61" t="s">
        <v>5465</v>
      </c>
      <c r="F388" s="121" t="s">
        <v>5546</v>
      </c>
      <c r="G388" s="118"/>
      <c r="H388" s="192" t="str">
        <f t="shared" ref="H388:K388" si="378">lower(C388)</f>
        <v>chartreviewneedwearhearingaid</v>
      </c>
      <c r="I388" s="192" t="str">
        <f t="shared" si="378"/>
        <v>chartreview</v>
      </c>
      <c r="J388" s="192" t="str">
        <f t="shared" si="378"/>
        <v>need or wear a hearing aid(s)?</v>
      </c>
      <c r="K388" s="192" t="str">
        <f t="shared" si="378"/>
        <v>chart_review_need_wear_hearing_aid</v>
      </c>
      <c r="L388" s="193"/>
      <c r="M388" s="193"/>
      <c r="N388" s="193"/>
      <c r="O388" s="193"/>
      <c r="P388" s="194" t="s">
        <v>5547</v>
      </c>
      <c r="Q388" s="194" t="s">
        <v>5547</v>
      </c>
    </row>
    <row r="389">
      <c r="A389" s="33"/>
      <c r="B389" s="33" t="s">
        <v>5374</v>
      </c>
      <c r="C389" s="12" t="s">
        <v>5548</v>
      </c>
      <c r="D389" s="12" t="s">
        <v>5537</v>
      </c>
      <c r="E389" s="61" t="s">
        <v>5481</v>
      </c>
      <c r="F389" s="121" t="s">
        <v>5549</v>
      </c>
      <c r="G389" s="118"/>
      <c r="H389" s="192" t="str">
        <f t="shared" ref="H389:K389" si="379">lower(C389)</f>
        <v>chartreviewhydrocephalusshunt</v>
      </c>
      <c r="I389" s="192" t="str">
        <f t="shared" si="379"/>
        <v>chartreview</v>
      </c>
      <c r="J389" s="192" t="str">
        <f t="shared" si="379"/>
        <v>hydrocephalus treated with a shunt?</v>
      </c>
      <c r="K389" s="192" t="str">
        <f t="shared" si="379"/>
        <v>chart_review_hydrocephalus_shunt</v>
      </c>
      <c r="L389" s="193"/>
      <c r="M389" s="193"/>
      <c r="N389" s="193"/>
      <c r="O389" s="193"/>
      <c r="P389" s="194" t="s">
        <v>5550</v>
      </c>
      <c r="Q389" s="194" t="s">
        <v>5550</v>
      </c>
    </row>
    <row r="390">
      <c r="A390" s="33"/>
      <c r="B390" s="33" t="s">
        <v>5374</v>
      </c>
      <c r="C390" s="12" t="s">
        <v>5551</v>
      </c>
      <c r="D390" s="12" t="s">
        <v>5537</v>
      </c>
      <c r="E390" s="61" t="s">
        <v>5485</v>
      </c>
      <c r="F390" s="121" t="s">
        <v>5552</v>
      </c>
      <c r="G390" s="118"/>
      <c r="H390" s="192" t="str">
        <f t="shared" ref="H390:K390" si="380">lower(C390)</f>
        <v>chartreviewcerebralpalsy</v>
      </c>
      <c r="I390" s="192" t="str">
        <f t="shared" si="380"/>
        <v>chartreview</v>
      </c>
      <c r="J390" s="192" t="str">
        <f t="shared" si="380"/>
        <v>cerebral palsy?</v>
      </c>
      <c r="K390" s="192" t="str">
        <f t="shared" si="380"/>
        <v>chart_review_cerebral_palsy</v>
      </c>
      <c r="L390" s="193"/>
      <c r="M390" s="193"/>
      <c r="N390" s="193"/>
      <c r="O390" s="193"/>
      <c r="P390" s="194" t="s">
        <v>5553</v>
      </c>
      <c r="Q390" s="194" t="s">
        <v>5553</v>
      </c>
    </row>
    <row r="391">
      <c r="A391" s="33"/>
      <c r="B391" s="33" t="s">
        <v>5374</v>
      </c>
      <c r="C391" s="12" t="s">
        <v>5554</v>
      </c>
      <c r="D391" s="12" t="s">
        <v>5537</v>
      </c>
      <c r="E391" s="61" t="s">
        <v>5489</v>
      </c>
      <c r="F391" s="121" t="s">
        <v>5555</v>
      </c>
      <c r="G391" s="118"/>
      <c r="H391" s="192" t="str">
        <f t="shared" ref="H391:K391" si="381">lower(C391)</f>
        <v>chartreviewdevelopmentaldelay</v>
      </c>
      <c r="I391" s="192" t="str">
        <f t="shared" si="381"/>
        <v>chartreview</v>
      </c>
      <c r="J391" s="192" t="str">
        <f t="shared" si="381"/>
        <v>developmental delay?</v>
      </c>
      <c r="K391" s="192" t="str">
        <f t="shared" si="381"/>
        <v>chart_review_developmental_delay</v>
      </c>
      <c r="L391" s="193"/>
      <c r="M391" s="193"/>
      <c r="N391" s="193"/>
      <c r="O391" s="193"/>
      <c r="P391" s="194" t="s">
        <v>5556</v>
      </c>
      <c r="Q391" s="194" t="s">
        <v>5556</v>
      </c>
    </row>
    <row r="392">
      <c r="A392" s="33"/>
      <c r="B392" s="33" t="s">
        <v>5374</v>
      </c>
      <c r="C392" s="12" t="s">
        <v>5557</v>
      </c>
      <c r="D392" s="12" t="s">
        <v>5537</v>
      </c>
      <c r="E392" s="61" t="s">
        <v>5493</v>
      </c>
      <c r="F392" s="121" t="s">
        <v>5558</v>
      </c>
      <c r="G392" s="118"/>
      <c r="H392" s="192" t="str">
        <f t="shared" ref="H392:K392" si="382">lower(C392)</f>
        <v>chartreviewlanguagedelay</v>
      </c>
      <c r="I392" s="192" t="str">
        <f t="shared" si="382"/>
        <v>chartreview</v>
      </c>
      <c r="J392" s="192" t="str">
        <f t="shared" si="382"/>
        <v>language delay?</v>
      </c>
      <c r="K392" s="192" t="str">
        <f t="shared" si="382"/>
        <v>chart_review_language_delay</v>
      </c>
      <c r="L392" s="193"/>
      <c r="M392" s="193"/>
      <c r="N392" s="193"/>
      <c r="O392" s="193"/>
      <c r="P392" s="194" t="s">
        <v>5559</v>
      </c>
      <c r="Q392" s="194" t="s">
        <v>5559</v>
      </c>
    </row>
    <row r="393">
      <c r="A393" s="33"/>
      <c r="B393" s="33" t="s">
        <v>5374</v>
      </c>
      <c r="C393" s="12" t="s">
        <v>5560</v>
      </c>
      <c r="D393" s="12" t="s">
        <v>5537</v>
      </c>
      <c r="E393" s="61" t="s">
        <v>5497</v>
      </c>
      <c r="F393" s="121" t="s">
        <v>5561</v>
      </c>
      <c r="G393" s="118"/>
      <c r="H393" s="192" t="str">
        <f t="shared" ref="H393:K393" si="383">lower(C393)</f>
        <v>chartreviewpoorweightgain</v>
      </c>
      <c r="I393" s="192" t="str">
        <f t="shared" si="383"/>
        <v>chartreview</v>
      </c>
      <c r="J393" s="192" t="str">
        <f t="shared" si="383"/>
        <v>poor weight gain?</v>
      </c>
      <c r="K393" s="192" t="str">
        <f t="shared" si="383"/>
        <v>chart_review_poor_weight_gain</v>
      </c>
      <c r="L393" s="193"/>
      <c r="M393" s="193"/>
      <c r="N393" s="193"/>
      <c r="O393" s="193"/>
      <c r="P393" s="194" t="s">
        <v>5562</v>
      </c>
      <c r="Q393" s="194" t="s">
        <v>5562</v>
      </c>
    </row>
    <row r="394">
      <c r="A394" s="33"/>
      <c r="B394" s="33" t="s">
        <v>5374</v>
      </c>
      <c r="C394" s="12" t="s">
        <v>5563</v>
      </c>
      <c r="D394" s="12" t="s">
        <v>5537</v>
      </c>
      <c r="E394" s="61" t="s">
        <v>5501</v>
      </c>
      <c r="F394" s="121" t="s">
        <v>5564</v>
      </c>
      <c r="G394" s="118"/>
      <c r="H394" s="192" t="str">
        <f t="shared" ref="H394:K394" si="384">lower(C394)</f>
        <v>chartreviewseizure</v>
      </c>
      <c r="I394" s="192" t="str">
        <f t="shared" si="384"/>
        <v>chartreview</v>
      </c>
      <c r="J394" s="192" t="str">
        <f t="shared" si="384"/>
        <v>seizures since discharge?</v>
      </c>
      <c r="K394" s="192" t="str">
        <f t="shared" si="384"/>
        <v>chart_review_seizure</v>
      </c>
      <c r="L394" s="193"/>
      <c r="M394" s="193"/>
      <c r="N394" s="193"/>
      <c r="O394" s="193"/>
      <c r="P394" s="194" t="s">
        <v>5565</v>
      </c>
      <c r="Q394" s="194" t="s">
        <v>5565</v>
      </c>
    </row>
    <row r="395">
      <c r="A395" s="33"/>
      <c r="B395" s="33" t="s">
        <v>5374</v>
      </c>
      <c r="C395" s="12" t="s">
        <v>5566</v>
      </c>
      <c r="D395" s="12" t="s">
        <v>5537</v>
      </c>
      <c r="E395" s="61" t="s">
        <v>5505</v>
      </c>
      <c r="F395" s="121" t="s">
        <v>5567</v>
      </c>
      <c r="G395" s="118"/>
      <c r="H395" s="192" t="str">
        <f t="shared" ref="H395:K395" si="385">lower(C395)</f>
        <v>chartreviewblindness</v>
      </c>
      <c r="I395" s="192" t="str">
        <f t="shared" si="385"/>
        <v>chartreview</v>
      </c>
      <c r="J395" s="192" t="str">
        <f t="shared" si="385"/>
        <v>blindness?</v>
      </c>
      <c r="K395" s="192" t="str">
        <f t="shared" si="385"/>
        <v>chart_review_blindness</v>
      </c>
      <c r="L395" s="193"/>
      <c r="M395" s="193"/>
      <c r="N395" s="193"/>
      <c r="O395" s="193"/>
      <c r="P395" s="194" t="s">
        <v>5568</v>
      </c>
      <c r="Q395" s="194" t="s">
        <v>5568</v>
      </c>
    </row>
    <row r="396">
      <c r="A396" s="33"/>
      <c r="B396" s="33" t="s">
        <v>5374</v>
      </c>
      <c r="C396" s="12" t="s">
        <v>5569</v>
      </c>
      <c r="D396" s="12" t="s">
        <v>5537</v>
      </c>
      <c r="E396" s="61" t="s">
        <v>5509</v>
      </c>
      <c r="F396" s="121" t="s">
        <v>5570</v>
      </c>
      <c r="G396" s="118"/>
      <c r="H396" s="192" t="str">
        <f t="shared" ref="H396:K396" si="386">lower(C396)</f>
        <v>chartreviewotherbehaviorproblem</v>
      </c>
      <c r="I396" s="192" t="str">
        <f t="shared" si="386"/>
        <v>chartreview</v>
      </c>
      <c r="J396" s="192" t="str">
        <f t="shared" si="386"/>
        <v>other behavior problems?</v>
      </c>
      <c r="K396" s="192" t="str">
        <f t="shared" si="386"/>
        <v>chart_review_other_behavior_problem</v>
      </c>
      <c r="L396" s="193"/>
      <c r="M396" s="193"/>
      <c r="N396" s="193"/>
      <c r="O396" s="193"/>
      <c r="P396" s="194" t="s">
        <v>5571</v>
      </c>
      <c r="Q396" s="194" t="s">
        <v>5571</v>
      </c>
    </row>
    <row r="397">
      <c r="A397" s="33"/>
      <c r="B397" s="33" t="s">
        <v>5374</v>
      </c>
      <c r="C397" s="12" t="s">
        <v>5572</v>
      </c>
      <c r="D397" s="12" t="s">
        <v>16</v>
      </c>
      <c r="E397" s="61" t="s">
        <v>5513</v>
      </c>
      <c r="F397" s="121" t="s">
        <v>5573</v>
      </c>
      <c r="G397" s="118"/>
      <c r="H397" s="192" t="str">
        <f t="shared" ref="H397:K397" si="387">lower(C397)</f>
        <v>chartreviewotherbehaviorproblemtext</v>
      </c>
      <c r="I397" s="192" t="str">
        <f t="shared" si="387"/>
        <v>text</v>
      </c>
      <c r="J397" s="192" t="str">
        <f t="shared" si="387"/>
        <v>other behavior problems - specify</v>
      </c>
      <c r="K397" s="192" t="str">
        <f t="shared" si="387"/>
        <v>chart_review_other_behavior_problem_text</v>
      </c>
      <c r="L397" s="193"/>
      <c r="M397" s="193"/>
      <c r="N397" s="193"/>
      <c r="O397" s="193"/>
      <c r="P397" s="194" t="s">
        <v>5574</v>
      </c>
      <c r="Q397" s="194" t="s">
        <v>5574</v>
      </c>
    </row>
    <row r="398">
      <c r="A398" s="33"/>
      <c r="B398" s="33" t="s">
        <v>5374</v>
      </c>
      <c r="C398" s="12" t="s">
        <v>5575</v>
      </c>
      <c r="D398" s="12" t="s">
        <v>5537</v>
      </c>
      <c r="E398" s="61" t="s">
        <v>5517</v>
      </c>
      <c r="F398" s="121" t="s">
        <v>5576</v>
      </c>
      <c r="G398" s="118"/>
      <c r="H398" s="192" t="str">
        <f t="shared" ref="H398:K398" si="388">lower(C398)</f>
        <v>chartreviewothermajormedicalproblem</v>
      </c>
      <c r="I398" s="192" t="str">
        <f t="shared" si="388"/>
        <v>chartreview</v>
      </c>
      <c r="J398" s="192" t="str">
        <f t="shared" si="388"/>
        <v>other major medical problems?</v>
      </c>
      <c r="K398" s="192" t="str">
        <f t="shared" si="388"/>
        <v>chart_review_other_major_medical_problem</v>
      </c>
      <c r="L398" s="193"/>
      <c r="M398" s="193"/>
      <c r="N398" s="193"/>
      <c r="O398" s="193"/>
      <c r="P398" s="194" t="s">
        <v>5577</v>
      </c>
      <c r="Q398" s="194" t="s">
        <v>5577</v>
      </c>
    </row>
    <row r="399">
      <c r="A399" s="33"/>
      <c r="B399" s="33" t="s">
        <v>5374</v>
      </c>
      <c r="C399" s="12" t="s">
        <v>5578</v>
      </c>
      <c r="D399" s="12" t="s">
        <v>16</v>
      </c>
      <c r="E399" s="61" t="s">
        <v>5521</v>
      </c>
      <c r="F399" s="121" t="s">
        <v>5579</v>
      </c>
      <c r="G399" s="118"/>
      <c r="H399" s="192" t="str">
        <f t="shared" ref="H399:K399" si="389">lower(C399)</f>
        <v>chartreviewothermajormedicalproblemtext</v>
      </c>
      <c r="I399" s="192" t="str">
        <f t="shared" si="389"/>
        <v>text</v>
      </c>
      <c r="J399" s="192" t="str">
        <f t="shared" si="389"/>
        <v>other major medical problems - specify</v>
      </c>
      <c r="K399" s="192" t="str">
        <f t="shared" si="389"/>
        <v>chart_review_other_major_medical_problem_text</v>
      </c>
      <c r="L399" s="193"/>
      <c r="M399" s="193"/>
      <c r="N399" s="193"/>
      <c r="O399" s="193"/>
      <c r="P399" s="194" t="s">
        <v>5580</v>
      </c>
      <c r="Q399" s="194" t="s">
        <v>5580</v>
      </c>
    </row>
    <row r="400">
      <c r="A400" s="33"/>
      <c r="B400" s="33" t="s">
        <v>5374</v>
      </c>
      <c r="C400" s="12" t="s">
        <v>5581</v>
      </c>
      <c r="D400" s="12" t="s">
        <v>5537</v>
      </c>
      <c r="E400" s="61" t="s">
        <v>5525</v>
      </c>
      <c r="F400" s="121" t="s">
        <v>5582</v>
      </c>
      <c r="G400" s="118"/>
      <c r="H400" s="192" t="str">
        <f t="shared" ref="H400:K400" si="390">lower(C400)</f>
        <v>chartreviewotherneuraldevelopmentalproblem</v>
      </c>
      <c r="I400" s="192" t="str">
        <f t="shared" si="390"/>
        <v>chartreview</v>
      </c>
      <c r="J400" s="192" t="str">
        <f t="shared" si="390"/>
        <v>other neuraldevelopmental problems?</v>
      </c>
      <c r="K400" s="192" t="str">
        <f t="shared" si="390"/>
        <v>chart_review_other_neuraldevelopmental_problem</v>
      </c>
      <c r="L400" s="193"/>
      <c r="M400" s="193"/>
      <c r="N400" s="193"/>
      <c r="O400" s="193"/>
      <c r="P400" s="194" t="s">
        <v>5583</v>
      </c>
      <c r="Q400" s="194" t="s">
        <v>5583</v>
      </c>
    </row>
    <row r="401">
      <c r="A401" s="33"/>
      <c r="B401" s="33" t="s">
        <v>5374</v>
      </c>
      <c r="C401" s="12" t="s">
        <v>5584</v>
      </c>
      <c r="D401" s="12" t="s">
        <v>16</v>
      </c>
      <c r="E401" s="61" t="s">
        <v>5529</v>
      </c>
      <c r="F401" s="121" t="s">
        <v>5585</v>
      </c>
      <c r="G401" s="118"/>
      <c r="H401" s="192" t="str">
        <f t="shared" ref="H401:K401" si="391">lower(C401)</f>
        <v>chartreviewotherneuraldevelopmentalproblemtext</v>
      </c>
      <c r="I401" s="192" t="str">
        <f t="shared" si="391"/>
        <v>text</v>
      </c>
      <c r="J401" s="192" t="str">
        <f t="shared" si="391"/>
        <v>other neuraldevelopmental problems - specify</v>
      </c>
      <c r="K401" s="192" t="str">
        <f t="shared" si="391"/>
        <v>chart_review_other_neuraldevelopmental_problem_text</v>
      </c>
      <c r="L401" s="193"/>
      <c r="M401" s="193"/>
      <c r="N401" s="193"/>
      <c r="O401" s="193"/>
      <c r="P401" s="194" t="s">
        <v>5586</v>
      </c>
      <c r="Q401" s="194" t="s">
        <v>5586</v>
      </c>
    </row>
    <row r="402">
      <c r="A402" s="33"/>
      <c r="B402" s="33" t="s">
        <v>5374</v>
      </c>
      <c r="C402" s="12" t="s">
        <v>5587</v>
      </c>
      <c r="D402" s="12" t="s">
        <v>5130</v>
      </c>
      <c r="E402" s="61" t="s">
        <v>5588</v>
      </c>
      <c r="F402" s="121" t="s">
        <v>5589</v>
      </c>
      <c r="G402" s="118"/>
      <c r="H402" s="192" t="str">
        <f t="shared" ref="H402:K402" si="392">lower(C402)</f>
        <v>chartreviewmotorgrossfunctionlevel</v>
      </c>
      <c r="I402" s="192" t="str">
        <f t="shared" si="392"/>
        <v>grossmotorfunctionlevel</v>
      </c>
      <c r="J402" s="192" t="str">
        <f t="shared" si="392"/>
        <v>gross motor function level from chart review</v>
      </c>
      <c r="K402" s="192" t="str">
        <f t="shared" si="392"/>
        <v>chart_review_motor_gross_function_level</v>
      </c>
      <c r="L402" s="193"/>
      <c r="M402" s="193"/>
      <c r="N402" s="193"/>
      <c r="O402" s="193"/>
      <c r="P402" s="193"/>
      <c r="Q402" s="194" t="s">
        <v>5590</v>
      </c>
    </row>
    <row r="403">
      <c r="A403" s="33"/>
      <c r="B403" s="33"/>
      <c r="C403" s="118"/>
      <c r="D403" s="118"/>
      <c r="F403" s="121" t="s">
        <v>851</v>
      </c>
      <c r="G403" s="118"/>
      <c r="H403" s="192" t="str">
        <f t="shared" ref="H403:K403" si="393">lower(C403)</f>
        <v/>
      </c>
      <c r="I403" s="192" t="str">
        <f t="shared" si="393"/>
        <v/>
      </c>
      <c r="J403" s="192" t="str">
        <f t="shared" si="393"/>
        <v/>
      </c>
      <c r="K403" s="192" t="str">
        <f t="shared" si="393"/>
        <v/>
      </c>
      <c r="L403" s="193"/>
      <c r="M403" s="193"/>
      <c r="N403" s="193"/>
      <c r="O403" s="193"/>
      <c r="P403" s="193"/>
      <c r="Q403" s="193"/>
    </row>
    <row r="404">
      <c r="A404" s="33" t="s">
        <v>4205</v>
      </c>
      <c r="B404" s="33" t="s">
        <v>8524</v>
      </c>
      <c r="D404" s="61" t="s">
        <v>16</v>
      </c>
      <c r="E404" s="61" t="s">
        <v>8525</v>
      </c>
      <c r="F404" s="121" t="s">
        <v>7188</v>
      </c>
      <c r="H404" s="192" t="str">
        <f t="shared" ref="H404:K404" si="394">lower(C404)</f>
        <v/>
      </c>
      <c r="I404" s="192" t="str">
        <f t="shared" si="394"/>
        <v>text</v>
      </c>
      <c r="J404" s="192" t="str">
        <f t="shared" si="394"/>
        <v>analysis id</v>
      </c>
      <c r="K404" s="192" t="str">
        <f t="shared" si="394"/>
        <v>analysisid</v>
      </c>
    </row>
    <row r="405">
      <c r="D405" s="61" t="s">
        <v>8526</v>
      </c>
      <c r="E405" s="61" t="s">
        <v>8527</v>
      </c>
      <c r="F405" s="121" t="s">
        <v>8528</v>
      </c>
      <c r="H405" s="192" t="str">
        <f t="shared" ref="H405:K405" si="395">lower(C405)</f>
        <v/>
      </c>
      <c r="I405" s="192" t="str">
        <f t="shared" si="395"/>
        <v>calc</v>
      </c>
      <c r="J405" s="192" t="str">
        <f t="shared" si="395"/>
        <v>which follow up is this?</v>
      </c>
      <c r="K405" s="192" t="str">
        <f t="shared" si="395"/>
        <v>fu_event</v>
      </c>
    </row>
    <row r="406">
      <c r="D406" s="61" t="s">
        <v>8529</v>
      </c>
      <c r="E406" s="61" t="s">
        <v>8530</v>
      </c>
      <c r="F406" s="121" t="s">
        <v>8531</v>
      </c>
      <c r="H406" s="192"/>
      <c r="I406" s="192"/>
      <c r="J406" s="192"/>
      <c r="K406" s="192"/>
    </row>
    <row r="407">
      <c r="D407" s="61" t="s">
        <v>8532</v>
      </c>
      <c r="E407" s="61" t="s">
        <v>8533</v>
      </c>
      <c r="F407" s="121" t="s">
        <v>8534</v>
      </c>
      <c r="H407" s="192"/>
      <c r="I407" s="192"/>
      <c r="J407" s="192"/>
      <c r="K407" s="192"/>
    </row>
    <row r="408">
      <c r="D408" s="61" t="s">
        <v>8529</v>
      </c>
      <c r="E408" s="61" t="s">
        <v>8535</v>
      </c>
      <c r="F408" s="121" t="s">
        <v>8536</v>
      </c>
      <c r="H408" s="192"/>
      <c r="I408" s="192"/>
      <c r="J408" s="192"/>
      <c r="K408" s="192"/>
    </row>
    <row r="409">
      <c r="D409" s="61" t="s">
        <v>16</v>
      </c>
      <c r="E409" s="61" t="s">
        <v>8537</v>
      </c>
      <c r="F409" s="121" t="s">
        <v>8538</v>
      </c>
      <c r="H409" s="192"/>
      <c r="I409" s="192"/>
      <c r="J409" s="192"/>
      <c r="K409" s="192"/>
    </row>
    <row r="410">
      <c r="D410" s="61" t="s">
        <v>8529</v>
      </c>
      <c r="E410" s="61" t="s">
        <v>8539</v>
      </c>
      <c r="F410" s="121" t="s">
        <v>8540</v>
      </c>
      <c r="H410" s="192"/>
      <c r="I410" s="192"/>
      <c r="J410" s="192"/>
      <c r="K410" s="192"/>
    </row>
    <row r="411">
      <c r="D411" s="61" t="s">
        <v>8529</v>
      </c>
      <c r="E411" s="61" t="s">
        <v>8541</v>
      </c>
      <c r="F411" s="121" t="s">
        <v>8542</v>
      </c>
      <c r="H411" s="192"/>
      <c r="I411" s="192"/>
      <c r="J411" s="192"/>
      <c r="K411" s="192"/>
    </row>
    <row r="412">
      <c r="D412" s="61" t="s">
        <v>8529</v>
      </c>
      <c r="E412" s="61" t="s">
        <v>8543</v>
      </c>
      <c r="F412" s="121" t="s">
        <v>8544</v>
      </c>
      <c r="H412" s="192"/>
      <c r="I412" s="192"/>
      <c r="J412" s="192"/>
      <c r="K412" s="192"/>
    </row>
    <row r="413">
      <c r="D413" s="61" t="s">
        <v>8529</v>
      </c>
      <c r="E413" s="61" t="s">
        <v>8545</v>
      </c>
      <c r="F413" s="121" t="s">
        <v>8546</v>
      </c>
      <c r="H413" s="192"/>
      <c r="I413" s="192"/>
      <c r="J413" s="192"/>
      <c r="K413" s="192"/>
    </row>
    <row r="414">
      <c r="D414" s="61" t="s">
        <v>8529</v>
      </c>
      <c r="E414" s="61" t="s">
        <v>8547</v>
      </c>
      <c r="F414" s="121" t="s">
        <v>8548</v>
      </c>
      <c r="H414" s="192"/>
      <c r="I414" s="192"/>
      <c r="J414" s="192"/>
      <c r="K414" s="192"/>
    </row>
    <row r="415">
      <c r="D415" s="61" t="s">
        <v>8529</v>
      </c>
      <c r="E415" s="61" t="s">
        <v>8549</v>
      </c>
      <c r="F415" s="121" t="s">
        <v>8550</v>
      </c>
      <c r="H415" s="192"/>
      <c r="I415" s="192"/>
      <c r="J415" s="192"/>
      <c r="K415" s="192"/>
    </row>
    <row r="416">
      <c r="D416" s="61" t="s">
        <v>16</v>
      </c>
      <c r="E416" s="61" t="s">
        <v>8551</v>
      </c>
      <c r="F416" s="121" t="s">
        <v>8552</v>
      </c>
      <c r="H416" s="192"/>
      <c r="I416" s="192"/>
      <c r="J416" s="192"/>
      <c r="K416" s="192"/>
    </row>
    <row r="417">
      <c r="D417" s="61" t="s">
        <v>16</v>
      </c>
      <c r="E417" s="61" t="s">
        <v>8553</v>
      </c>
      <c r="F417" s="121" t="s">
        <v>8554</v>
      </c>
      <c r="H417" s="192"/>
      <c r="I417" s="192"/>
      <c r="J417" s="192"/>
      <c r="K417" s="192"/>
    </row>
    <row r="418">
      <c r="D418" s="61" t="s">
        <v>8529</v>
      </c>
      <c r="E418" s="61" t="s">
        <v>8555</v>
      </c>
      <c r="F418" s="121" t="s">
        <v>8556</v>
      </c>
      <c r="H418" s="192"/>
      <c r="I418" s="192"/>
      <c r="J418" s="192"/>
      <c r="K418" s="192"/>
    </row>
    <row r="419">
      <c r="D419" s="61" t="s">
        <v>16</v>
      </c>
      <c r="E419" s="61" t="s">
        <v>8551</v>
      </c>
      <c r="F419" s="121" t="s">
        <v>8557</v>
      </c>
      <c r="H419" s="192"/>
      <c r="I419" s="192"/>
      <c r="J419" s="192"/>
      <c r="K419" s="192"/>
    </row>
    <row r="420">
      <c r="D420" s="61" t="s">
        <v>16</v>
      </c>
      <c r="E420" s="61" t="s">
        <v>8553</v>
      </c>
      <c r="F420" s="121" t="s">
        <v>8558</v>
      </c>
      <c r="H420" s="192"/>
      <c r="I420" s="192"/>
      <c r="J420" s="192"/>
      <c r="K420" s="192"/>
    </row>
    <row r="421">
      <c r="D421" s="61" t="s">
        <v>8529</v>
      </c>
      <c r="E421" s="61" t="s">
        <v>8555</v>
      </c>
      <c r="F421" s="121" t="s">
        <v>8559</v>
      </c>
      <c r="H421" s="192"/>
      <c r="I421" s="192"/>
      <c r="J421" s="192"/>
      <c r="K421" s="192"/>
    </row>
    <row r="422">
      <c r="D422" s="61" t="s">
        <v>16</v>
      </c>
      <c r="E422" s="61" t="s">
        <v>8551</v>
      </c>
      <c r="F422" s="121" t="s">
        <v>8560</v>
      </c>
      <c r="H422" s="192"/>
      <c r="I422" s="192"/>
      <c r="J422" s="192"/>
      <c r="K422" s="192"/>
    </row>
    <row r="423">
      <c r="D423" s="61" t="s">
        <v>16</v>
      </c>
      <c r="E423" s="61" t="s">
        <v>8553</v>
      </c>
      <c r="F423" s="121" t="s">
        <v>8561</v>
      </c>
      <c r="H423" s="192"/>
      <c r="I423" s="192"/>
      <c r="J423" s="192"/>
      <c r="K423" s="192"/>
    </row>
    <row r="424">
      <c r="D424" s="61" t="s">
        <v>8529</v>
      </c>
      <c r="E424" s="61" t="s">
        <v>8555</v>
      </c>
      <c r="F424" s="121" t="s">
        <v>8562</v>
      </c>
      <c r="H424" s="192"/>
      <c r="I424" s="192"/>
      <c r="J424" s="192"/>
      <c r="K424" s="192"/>
    </row>
    <row r="425">
      <c r="D425" s="61" t="s">
        <v>16</v>
      </c>
      <c r="E425" s="61" t="s">
        <v>8551</v>
      </c>
      <c r="F425" s="121" t="s">
        <v>8563</v>
      </c>
      <c r="H425" s="192"/>
      <c r="I425" s="192"/>
      <c r="J425" s="192"/>
      <c r="K425" s="192"/>
    </row>
    <row r="426">
      <c r="D426" s="61" t="s">
        <v>16</v>
      </c>
      <c r="E426" s="61" t="s">
        <v>8553</v>
      </c>
      <c r="F426" s="121" t="s">
        <v>8564</v>
      </c>
      <c r="H426" s="192"/>
      <c r="I426" s="192"/>
      <c r="J426" s="192"/>
      <c r="K426" s="192"/>
    </row>
    <row r="427">
      <c r="D427" s="61" t="s">
        <v>8529</v>
      </c>
      <c r="E427" s="61" t="s">
        <v>8555</v>
      </c>
      <c r="F427" s="121" t="s">
        <v>8565</v>
      </c>
      <c r="H427" s="192"/>
      <c r="I427" s="192"/>
      <c r="J427" s="192"/>
      <c r="K427" s="192"/>
    </row>
    <row r="428">
      <c r="D428" s="61" t="s">
        <v>16</v>
      </c>
      <c r="E428" s="61" t="s">
        <v>8551</v>
      </c>
      <c r="F428" s="121" t="s">
        <v>8566</v>
      </c>
      <c r="H428" s="192"/>
      <c r="I428" s="192"/>
      <c r="J428" s="192"/>
      <c r="K428" s="192"/>
    </row>
    <row r="429">
      <c r="D429" s="61" t="s">
        <v>16</v>
      </c>
      <c r="E429" s="61" t="s">
        <v>8553</v>
      </c>
      <c r="F429" s="121" t="s">
        <v>8567</v>
      </c>
      <c r="H429" s="192"/>
      <c r="I429" s="192"/>
      <c r="J429" s="192"/>
      <c r="K429" s="192"/>
    </row>
    <row r="430">
      <c r="D430" s="61" t="s">
        <v>8532</v>
      </c>
      <c r="E430" s="61" t="s">
        <v>8568</v>
      </c>
      <c r="F430" s="121" t="s">
        <v>8569</v>
      </c>
      <c r="H430" s="192"/>
      <c r="I430" s="192"/>
      <c r="J430" s="192"/>
      <c r="K430" s="192"/>
    </row>
    <row r="431">
      <c r="D431" s="61" t="s">
        <v>8532</v>
      </c>
      <c r="E431" s="61" t="s">
        <v>8570</v>
      </c>
      <c r="F431" s="121" t="s">
        <v>8571</v>
      </c>
      <c r="H431" s="192"/>
      <c r="I431" s="192"/>
      <c r="J431" s="192"/>
      <c r="K431" s="192"/>
    </row>
    <row r="432">
      <c r="D432" s="61" t="s">
        <v>8529</v>
      </c>
      <c r="E432" s="61" t="s">
        <v>8572</v>
      </c>
      <c r="F432" s="121" t="s">
        <v>8573</v>
      </c>
      <c r="H432" s="192"/>
      <c r="I432" s="192"/>
      <c r="J432" s="192"/>
      <c r="K432" s="192"/>
    </row>
    <row r="433">
      <c r="D433" s="61" t="s">
        <v>8529</v>
      </c>
      <c r="E433" s="61" t="s">
        <v>8574</v>
      </c>
      <c r="F433" s="121" t="s">
        <v>8575</v>
      </c>
      <c r="H433" s="192"/>
      <c r="I433" s="192"/>
      <c r="J433" s="192"/>
      <c r="K433" s="192"/>
    </row>
    <row r="434">
      <c r="D434" s="61" t="s">
        <v>8529</v>
      </c>
      <c r="E434" s="61" t="s">
        <v>8576</v>
      </c>
      <c r="F434" s="121" t="s">
        <v>8577</v>
      </c>
      <c r="H434" s="192"/>
      <c r="I434" s="192"/>
      <c r="J434" s="192"/>
      <c r="K434" s="192"/>
    </row>
    <row r="435">
      <c r="D435" s="61" t="s">
        <v>8532</v>
      </c>
      <c r="E435" s="61" t="s">
        <v>8578</v>
      </c>
      <c r="F435" s="121" t="s">
        <v>8579</v>
      </c>
      <c r="H435" s="192"/>
      <c r="I435" s="192"/>
      <c r="J435" s="192"/>
      <c r="K435" s="192"/>
    </row>
    <row r="436">
      <c r="D436" s="61" t="s">
        <v>16</v>
      </c>
      <c r="E436" s="61" t="s">
        <v>8580</v>
      </c>
      <c r="F436" s="121" t="s">
        <v>8581</v>
      </c>
      <c r="H436" s="192"/>
      <c r="I436" s="192"/>
      <c r="J436" s="192"/>
      <c r="K436" s="192"/>
    </row>
    <row r="437">
      <c r="D437" s="61" t="s">
        <v>8529</v>
      </c>
      <c r="E437" s="61" t="s">
        <v>8582</v>
      </c>
      <c r="F437" s="121" t="s">
        <v>8583</v>
      </c>
      <c r="H437" s="192"/>
      <c r="I437" s="192"/>
      <c r="J437" s="192"/>
      <c r="K437" s="192"/>
    </row>
    <row r="438">
      <c r="D438" s="61" t="s">
        <v>8529</v>
      </c>
      <c r="E438" s="61" t="s">
        <v>8584</v>
      </c>
      <c r="F438" s="121" t="s">
        <v>8585</v>
      </c>
      <c r="H438" s="192"/>
      <c r="I438" s="192"/>
      <c r="J438" s="192"/>
      <c r="K438" s="192"/>
    </row>
    <row r="439">
      <c r="D439" s="61" t="s">
        <v>8532</v>
      </c>
      <c r="E439" s="61" t="s">
        <v>8578</v>
      </c>
      <c r="F439" s="121" t="s">
        <v>8586</v>
      </c>
      <c r="H439" s="192"/>
      <c r="I439" s="192"/>
      <c r="J439" s="192"/>
      <c r="K439" s="192"/>
    </row>
    <row r="440">
      <c r="D440" s="61" t="s">
        <v>16</v>
      </c>
      <c r="E440" s="61" t="s">
        <v>8587</v>
      </c>
      <c r="F440" s="121" t="s">
        <v>8588</v>
      </c>
      <c r="H440" s="192"/>
      <c r="I440" s="192"/>
      <c r="J440" s="192"/>
      <c r="K440" s="192"/>
    </row>
    <row r="441">
      <c r="D441" s="61" t="s">
        <v>8529</v>
      </c>
      <c r="E441" s="61" t="s">
        <v>8589</v>
      </c>
      <c r="F441" s="121" t="s">
        <v>8590</v>
      </c>
      <c r="H441" s="192"/>
      <c r="I441" s="192"/>
      <c r="J441" s="192"/>
      <c r="K441" s="192"/>
    </row>
    <row r="442">
      <c r="D442" s="61" t="s">
        <v>8529</v>
      </c>
      <c r="E442" s="61" t="s">
        <v>8591</v>
      </c>
      <c r="F442" s="121" t="s">
        <v>8592</v>
      </c>
      <c r="H442" s="192"/>
      <c r="I442" s="192"/>
      <c r="J442" s="192"/>
      <c r="K442" s="192"/>
    </row>
    <row r="443">
      <c r="D443" s="61" t="s">
        <v>8593</v>
      </c>
      <c r="E443" s="61" t="s">
        <v>8594</v>
      </c>
      <c r="F443" s="121" t="s">
        <v>8595</v>
      </c>
      <c r="H443" s="192"/>
      <c r="I443" s="192"/>
      <c r="J443" s="192"/>
      <c r="K443" s="192"/>
    </row>
    <row r="444">
      <c r="D444" s="61" t="s">
        <v>8529</v>
      </c>
      <c r="E444" s="61" t="s">
        <v>8596</v>
      </c>
      <c r="F444" s="121" t="s">
        <v>8597</v>
      </c>
      <c r="H444" s="192"/>
      <c r="I444" s="192"/>
      <c r="J444" s="192"/>
      <c r="K444" s="192"/>
    </row>
    <row r="445">
      <c r="D445" s="61" t="s">
        <v>8529</v>
      </c>
      <c r="E445" s="61" t="s">
        <v>8591</v>
      </c>
      <c r="F445" s="121" t="s">
        <v>8598</v>
      </c>
      <c r="H445" s="192"/>
      <c r="I445" s="192"/>
      <c r="J445" s="192"/>
      <c r="K445" s="192"/>
    </row>
    <row r="446">
      <c r="D446" s="61" t="s">
        <v>8599</v>
      </c>
      <c r="E446" s="61" t="s">
        <v>8600</v>
      </c>
      <c r="F446" s="121" t="s">
        <v>8601</v>
      </c>
      <c r="H446" s="192"/>
      <c r="I446" s="192"/>
      <c r="J446" s="192"/>
      <c r="K446" s="192"/>
    </row>
    <row r="447">
      <c r="D447" s="61" t="s">
        <v>8532</v>
      </c>
      <c r="E447" s="61" t="s">
        <v>8602</v>
      </c>
      <c r="F447" s="121" t="s">
        <v>8603</v>
      </c>
      <c r="H447" s="192"/>
      <c r="I447" s="192"/>
      <c r="J447" s="192"/>
      <c r="K447" s="192"/>
    </row>
    <row r="448">
      <c r="D448" s="61" t="s">
        <v>8599</v>
      </c>
      <c r="E448" s="61" t="s">
        <v>8604</v>
      </c>
      <c r="F448" s="121" t="s">
        <v>8605</v>
      </c>
      <c r="H448" s="192"/>
      <c r="I448" s="192"/>
      <c r="J448" s="192"/>
      <c r="K448" s="192"/>
    </row>
    <row r="449">
      <c r="D449" s="61" t="s">
        <v>16</v>
      </c>
      <c r="E449" s="61" t="s">
        <v>8606</v>
      </c>
      <c r="F449" s="121" t="s">
        <v>8607</v>
      </c>
      <c r="H449" s="192"/>
      <c r="I449" s="192"/>
      <c r="J449" s="192"/>
      <c r="K449" s="192"/>
    </row>
    <row r="450">
      <c r="D450" s="61" t="s">
        <v>8529</v>
      </c>
      <c r="E450" s="61" t="s">
        <v>8608</v>
      </c>
      <c r="F450" s="121" t="s">
        <v>8609</v>
      </c>
      <c r="H450" s="192"/>
      <c r="I450" s="192"/>
      <c r="J450" s="192"/>
      <c r="K450" s="192"/>
    </row>
    <row r="451">
      <c r="D451" s="61" t="s">
        <v>8599</v>
      </c>
      <c r="E451" s="61" t="s">
        <v>8610</v>
      </c>
      <c r="F451" s="121" t="s">
        <v>8611</v>
      </c>
      <c r="H451" s="192"/>
      <c r="I451" s="192"/>
      <c r="J451" s="192"/>
      <c r="K451" s="192"/>
    </row>
    <row r="452">
      <c r="D452" s="61" t="s">
        <v>16</v>
      </c>
      <c r="E452" s="61" t="s">
        <v>8606</v>
      </c>
      <c r="F452" s="121" t="s">
        <v>8612</v>
      </c>
      <c r="H452" s="192"/>
      <c r="I452" s="192"/>
      <c r="J452" s="192"/>
      <c r="K452" s="192"/>
    </row>
    <row r="453">
      <c r="D453" s="61" t="s">
        <v>8529</v>
      </c>
      <c r="E453" s="61" t="s">
        <v>8608</v>
      </c>
      <c r="F453" s="121" t="s">
        <v>8613</v>
      </c>
      <c r="H453" s="192"/>
      <c r="I453" s="192"/>
      <c r="J453" s="192"/>
      <c r="K453" s="192"/>
    </row>
    <row r="454">
      <c r="D454" s="61" t="s">
        <v>8599</v>
      </c>
      <c r="E454" s="61" t="s">
        <v>8614</v>
      </c>
      <c r="F454" s="121" t="s">
        <v>8615</v>
      </c>
      <c r="H454" s="192"/>
      <c r="I454" s="192"/>
      <c r="J454" s="192"/>
      <c r="K454" s="192"/>
    </row>
    <row r="455">
      <c r="D455" s="61" t="s">
        <v>16</v>
      </c>
      <c r="E455" s="61" t="s">
        <v>8606</v>
      </c>
      <c r="F455" s="121" t="s">
        <v>8616</v>
      </c>
      <c r="H455" s="192"/>
      <c r="I455" s="192"/>
      <c r="J455" s="192"/>
      <c r="K455" s="192"/>
    </row>
    <row r="456">
      <c r="D456" s="61" t="s">
        <v>8529</v>
      </c>
      <c r="E456" s="61" t="s">
        <v>8608</v>
      </c>
      <c r="F456" s="121" t="s">
        <v>8617</v>
      </c>
      <c r="H456" s="192"/>
      <c r="I456" s="192"/>
      <c r="J456" s="192"/>
      <c r="K456" s="192"/>
    </row>
    <row r="457">
      <c r="D457" s="61" t="s">
        <v>8599</v>
      </c>
      <c r="E457" s="61" t="s">
        <v>8618</v>
      </c>
      <c r="F457" s="121" t="s">
        <v>8619</v>
      </c>
      <c r="H457" s="192"/>
      <c r="I457" s="192"/>
      <c r="J457" s="192"/>
      <c r="K457" s="192"/>
    </row>
    <row r="458">
      <c r="D458" s="61" t="s">
        <v>16</v>
      </c>
      <c r="E458" s="61" t="s">
        <v>8606</v>
      </c>
      <c r="F458" s="121" t="s">
        <v>8620</v>
      </c>
      <c r="H458" s="192"/>
      <c r="I458" s="192"/>
      <c r="J458" s="192"/>
      <c r="K458" s="192"/>
    </row>
    <row r="459">
      <c r="D459" s="61" t="s">
        <v>8529</v>
      </c>
      <c r="E459" s="61" t="s">
        <v>8608</v>
      </c>
      <c r="F459" s="121" t="s">
        <v>8621</v>
      </c>
      <c r="H459" s="192"/>
      <c r="I459" s="192"/>
      <c r="J459" s="192"/>
      <c r="K459" s="192"/>
    </row>
    <row r="460">
      <c r="D460" s="61" t="s">
        <v>8599</v>
      </c>
      <c r="E460" s="61" t="s">
        <v>8622</v>
      </c>
      <c r="F460" s="121" t="s">
        <v>8623</v>
      </c>
      <c r="H460" s="192"/>
      <c r="I460" s="192"/>
      <c r="J460" s="192"/>
      <c r="K460" s="192"/>
    </row>
    <row r="461">
      <c r="D461" s="61" t="s">
        <v>16</v>
      </c>
      <c r="E461" s="61" t="s">
        <v>8606</v>
      </c>
      <c r="F461" s="121" t="s">
        <v>8624</v>
      </c>
      <c r="H461" s="192"/>
      <c r="I461" s="192"/>
      <c r="J461" s="192"/>
      <c r="K461" s="192"/>
    </row>
    <row r="462">
      <c r="D462" s="61" t="s">
        <v>8529</v>
      </c>
      <c r="E462" s="61" t="s">
        <v>8608</v>
      </c>
      <c r="F462" s="121" t="s">
        <v>8625</v>
      </c>
      <c r="H462" s="192"/>
      <c r="I462" s="192"/>
      <c r="J462" s="192"/>
      <c r="K462" s="192"/>
    </row>
    <row r="463">
      <c r="D463" s="61" t="s">
        <v>8599</v>
      </c>
      <c r="E463" s="61" t="s">
        <v>8626</v>
      </c>
      <c r="F463" s="121" t="s">
        <v>8627</v>
      </c>
      <c r="H463" s="192"/>
      <c r="I463" s="192"/>
      <c r="J463" s="192"/>
      <c r="K463" s="192"/>
    </row>
    <row r="464">
      <c r="D464" s="61" t="s">
        <v>8529</v>
      </c>
      <c r="E464" s="61" t="s">
        <v>8628</v>
      </c>
      <c r="F464" s="121" t="s">
        <v>8629</v>
      </c>
      <c r="H464" s="192"/>
      <c r="I464" s="192"/>
      <c r="J464" s="192"/>
      <c r="K464" s="192"/>
    </row>
    <row r="465">
      <c r="D465" s="61" t="s">
        <v>8599</v>
      </c>
      <c r="E465" s="61" t="s">
        <v>8630</v>
      </c>
      <c r="F465" s="121" t="s">
        <v>8631</v>
      </c>
      <c r="H465" s="192"/>
      <c r="I465" s="192"/>
      <c r="J465" s="192"/>
      <c r="K465" s="192"/>
    </row>
    <row r="466">
      <c r="D466" s="61" t="s">
        <v>8532</v>
      </c>
      <c r="E466" s="61" t="s">
        <v>8632</v>
      </c>
      <c r="F466" s="121" t="s">
        <v>8633</v>
      </c>
      <c r="H466" s="192"/>
      <c r="I466" s="192"/>
      <c r="J466" s="192"/>
      <c r="K466" s="192"/>
    </row>
    <row r="467">
      <c r="D467" s="61" t="s">
        <v>8599</v>
      </c>
      <c r="E467" s="61" t="s">
        <v>8634</v>
      </c>
      <c r="F467" s="121" t="s">
        <v>8635</v>
      </c>
      <c r="H467" s="192"/>
      <c r="I467" s="192"/>
      <c r="J467" s="192"/>
      <c r="K467" s="192"/>
    </row>
    <row r="468">
      <c r="D468" s="61" t="s">
        <v>8529</v>
      </c>
      <c r="E468" s="61" t="s">
        <v>8636</v>
      </c>
      <c r="F468" s="121" t="s">
        <v>8637</v>
      </c>
      <c r="H468" s="192"/>
      <c r="I468" s="192"/>
      <c r="J468" s="192"/>
      <c r="K468" s="192"/>
    </row>
    <row r="469">
      <c r="D469" s="61" t="s">
        <v>8529</v>
      </c>
      <c r="E469" s="61" t="s">
        <v>8638</v>
      </c>
      <c r="F469" s="121" t="s">
        <v>8639</v>
      </c>
      <c r="H469" s="192"/>
      <c r="I469" s="192"/>
      <c r="J469" s="192"/>
      <c r="K469" s="192"/>
    </row>
    <row r="470">
      <c r="D470" s="61" t="s">
        <v>8529</v>
      </c>
      <c r="E470" s="61" t="s">
        <v>8640</v>
      </c>
      <c r="F470" s="121" t="s">
        <v>8641</v>
      </c>
      <c r="H470" s="192"/>
      <c r="I470" s="192"/>
      <c r="J470" s="192"/>
      <c r="K470" s="192"/>
    </row>
    <row r="471">
      <c r="D471" s="61" t="s">
        <v>8529</v>
      </c>
      <c r="E471" s="61" t="s">
        <v>6567</v>
      </c>
      <c r="F471" s="121" t="s">
        <v>8642</v>
      </c>
      <c r="H471" s="192"/>
      <c r="I471" s="192"/>
      <c r="J471" s="192"/>
      <c r="K471" s="192"/>
    </row>
    <row r="472">
      <c r="D472" s="61" t="s">
        <v>8529</v>
      </c>
      <c r="E472" s="61" t="s">
        <v>8643</v>
      </c>
      <c r="F472" s="121" t="s">
        <v>8644</v>
      </c>
      <c r="H472" s="192"/>
      <c r="I472" s="192"/>
      <c r="J472" s="192"/>
      <c r="K472" s="192"/>
    </row>
    <row r="473">
      <c r="D473" s="61" t="s">
        <v>8529</v>
      </c>
      <c r="E473" s="61" t="s">
        <v>6563</v>
      </c>
      <c r="F473" s="121" t="s">
        <v>8645</v>
      </c>
      <c r="H473" s="192"/>
      <c r="I473" s="192"/>
      <c r="J473" s="192"/>
      <c r="K473" s="192"/>
    </row>
    <row r="474">
      <c r="D474" s="61" t="s">
        <v>8529</v>
      </c>
      <c r="E474" s="61" t="s">
        <v>6565</v>
      </c>
      <c r="F474" s="121" t="s">
        <v>8646</v>
      </c>
      <c r="H474" s="192"/>
      <c r="I474" s="192"/>
      <c r="J474" s="192"/>
      <c r="K474" s="192"/>
    </row>
    <row r="475">
      <c r="D475" s="61" t="s">
        <v>8529</v>
      </c>
      <c r="E475" s="61" t="s">
        <v>6294</v>
      </c>
      <c r="F475" s="121" t="s">
        <v>8647</v>
      </c>
      <c r="H475" s="192"/>
      <c r="I475" s="192"/>
      <c r="J475" s="192"/>
      <c r="K475" s="192"/>
    </row>
    <row r="476">
      <c r="D476" s="61" t="s">
        <v>8599</v>
      </c>
      <c r="E476" s="61" t="s">
        <v>8648</v>
      </c>
      <c r="F476" s="121" t="s">
        <v>8649</v>
      </c>
      <c r="H476" s="192"/>
      <c r="I476" s="192"/>
      <c r="J476" s="192"/>
      <c r="K476" s="192"/>
    </row>
    <row r="477">
      <c r="D477" s="61" t="s">
        <v>8529</v>
      </c>
      <c r="E477" s="61" t="s">
        <v>8650</v>
      </c>
      <c r="F477" s="121" t="s">
        <v>8651</v>
      </c>
      <c r="H477" s="192"/>
      <c r="I477" s="192"/>
      <c r="J477" s="192"/>
      <c r="K477" s="192"/>
    </row>
    <row r="478">
      <c r="D478" s="61" t="s">
        <v>8529</v>
      </c>
      <c r="E478" s="61" t="s">
        <v>8652</v>
      </c>
      <c r="F478" s="121" t="s">
        <v>8653</v>
      </c>
      <c r="H478" s="192"/>
      <c r="I478" s="192"/>
      <c r="J478" s="192"/>
      <c r="K478" s="192"/>
    </row>
    <row r="479">
      <c r="D479" s="61" t="s">
        <v>8529</v>
      </c>
      <c r="E479" s="61" t="s">
        <v>8654</v>
      </c>
      <c r="F479" s="121" t="s">
        <v>8655</v>
      </c>
      <c r="H479" s="192"/>
      <c r="I479" s="192"/>
      <c r="J479" s="192"/>
      <c r="K479" s="192"/>
    </row>
    <row r="480">
      <c r="D480" s="61" t="s">
        <v>8529</v>
      </c>
      <c r="E480" s="61" t="s">
        <v>8656</v>
      </c>
      <c r="F480" s="121" t="s">
        <v>8657</v>
      </c>
      <c r="H480" s="192"/>
      <c r="I480" s="192"/>
      <c r="J480" s="192"/>
      <c r="K480" s="192"/>
    </row>
    <row r="481">
      <c r="D481" s="61" t="s">
        <v>8529</v>
      </c>
      <c r="E481" s="61" t="s">
        <v>8658</v>
      </c>
      <c r="F481" s="121" t="s">
        <v>8659</v>
      </c>
      <c r="H481" s="192"/>
      <c r="I481" s="192"/>
      <c r="J481" s="192"/>
      <c r="K481" s="192"/>
    </row>
    <row r="482">
      <c r="D482" s="61" t="s">
        <v>8529</v>
      </c>
      <c r="E482" s="61" t="s">
        <v>8660</v>
      </c>
      <c r="F482" s="121" t="s">
        <v>8661</v>
      </c>
      <c r="H482" s="192"/>
      <c r="I482" s="192"/>
      <c r="J482" s="192"/>
      <c r="K482" s="192"/>
    </row>
    <row r="483">
      <c r="D483" s="61" t="s">
        <v>8529</v>
      </c>
      <c r="E483" s="61" t="s">
        <v>6294</v>
      </c>
      <c r="F483" s="121" t="s">
        <v>8662</v>
      </c>
      <c r="H483" s="192"/>
      <c r="I483" s="192"/>
      <c r="J483" s="192"/>
      <c r="K483" s="192"/>
    </row>
    <row r="484">
      <c r="D484" s="61" t="s">
        <v>8599</v>
      </c>
      <c r="E484" s="61" t="s">
        <v>8663</v>
      </c>
      <c r="F484" s="121" t="s">
        <v>8664</v>
      </c>
      <c r="H484" s="192"/>
      <c r="I484" s="192"/>
      <c r="J484" s="192"/>
      <c r="K484" s="192"/>
    </row>
    <row r="485">
      <c r="D485" s="61" t="s">
        <v>8529</v>
      </c>
      <c r="E485" s="61" t="s">
        <v>8665</v>
      </c>
      <c r="F485" s="121" t="s">
        <v>8666</v>
      </c>
      <c r="H485" s="192"/>
      <c r="I485" s="192"/>
      <c r="J485" s="192"/>
      <c r="K485" s="192"/>
    </row>
    <row r="486">
      <c r="D486" s="61" t="s">
        <v>8529</v>
      </c>
      <c r="E486" s="61" t="s">
        <v>8667</v>
      </c>
      <c r="F486" s="121" t="s">
        <v>8668</v>
      </c>
      <c r="H486" s="192"/>
      <c r="I486" s="192"/>
      <c r="J486" s="192"/>
      <c r="K486" s="192"/>
    </row>
    <row r="487">
      <c r="D487" s="61" t="s">
        <v>8529</v>
      </c>
      <c r="E487" s="61" t="s">
        <v>8669</v>
      </c>
      <c r="F487" s="121" t="s">
        <v>8670</v>
      </c>
      <c r="H487" s="192"/>
      <c r="I487" s="192"/>
      <c r="J487" s="192"/>
      <c r="K487" s="192"/>
    </row>
    <row r="488">
      <c r="D488" s="61" t="s">
        <v>8529</v>
      </c>
      <c r="E488" s="61" t="s">
        <v>8671</v>
      </c>
      <c r="F488" s="121" t="s">
        <v>8672</v>
      </c>
      <c r="H488" s="192"/>
      <c r="I488" s="192"/>
      <c r="J488" s="192"/>
      <c r="K488" s="192"/>
    </row>
    <row r="489">
      <c r="D489" s="61" t="s">
        <v>8529</v>
      </c>
      <c r="E489" s="61" t="s">
        <v>8673</v>
      </c>
      <c r="F489" s="121" t="s">
        <v>8674</v>
      </c>
      <c r="H489" s="192"/>
      <c r="I489" s="192"/>
      <c r="J489" s="192"/>
      <c r="K489" s="192"/>
    </row>
    <row r="490">
      <c r="D490" s="61" t="s">
        <v>8529</v>
      </c>
      <c r="E490" s="61" t="s">
        <v>6294</v>
      </c>
      <c r="F490" s="121" t="s">
        <v>8675</v>
      </c>
      <c r="H490" s="192"/>
      <c r="I490" s="192"/>
      <c r="J490" s="192"/>
      <c r="K490" s="192"/>
    </row>
    <row r="491">
      <c r="D491" s="61" t="s">
        <v>8599</v>
      </c>
      <c r="E491" s="61" t="s">
        <v>8676</v>
      </c>
      <c r="F491" s="121" t="s">
        <v>8677</v>
      </c>
      <c r="H491" s="192"/>
      <c r="I491" s="192"/>
      <c r="J491" s="192"/>
      <c r="K491" s="192"/>
    </row>
    <row r="492">
      <c r="D492" s="61" t="s">
        <v>8529</v>
      </c>
      <c r="E492" s="61" t="s">
        <v>8678</v>
      </c>
      <c r="F492" s="121" t="s">
        <v>8679</v>
      </c>
      <c r="H492" s="192"/>
      <c r="I492" s="192"/>
      <c r="J492" s="192"/>
      <c r="K492" s="192"/>
    </row>
    <row r="493">
      <c r="D493" s="61" t="s">
        <v>8529</v>
      </c>
      <c r="E493" s="61" t="s">
        <v>8680</v>
      </c>
      <c r="F493" s="121" t="s">
        <v>8681</v>
      </c>
      <c r="H493" s="192"/>
      <c r="I493" s="192"/>
      <c r="J493" s="192"/>
      <c r="K493" s="192"/>
    </row>
    <row r="494">
      <c r="D494" s="61" t="s">
        <v>8529</v>
      </c>
      <c r="E494" s="61" t="s">
        <v>8682</v>
      </c>
      <c r="F494" s="121" t="s">
        <v>8683</v>
      </c>
      <c r="H494" s="192"/>
      <c r="I494" s="192"/>
      <c r="J494" s="192"/>
      <c r="K494" s="192"/>
    </row>
    <row r="495">
      <c r="D495" s="61" t="s">
        <v>8529</v>
      </c>
      <c r="E495" s="61" t="s">
        <v>6294</v>
      </c>
      <c r="F495" s="121" t="s">
        <v>8684</v>
      </c>
      <c r="H495" s="192"/>
      <c r="I495" s="192"/>
      <c r="J495" s="192"/>
      <c r="K495" s="192"/>
    </row>
    <row r="496">
      <c r="D496" s="61" t="s">
        <v>8599</v>
      </c>
      <c r="E496" s="61" t="s">
        <v>8685</v>
      </c>
      <c r="F496" s="121" t="s">
        <v>8686</v>
      </c>
      <c r="H496" s="192"/>
      <c r="I496" s="192"/>
      <c r="J496" s="192"/>
      <c r="K496" s="192"/>
    </row>
    <row r="497">
      <c r="D497" s="61" t="s">
        <v>8529</v>
      </c>
      <c r="E497" s="61" t="s">
        <v>8687</v>
      </c>
      <c r="F497" s="121" t="s">
        <v>8688</v>
      </c>
      <c r="H497" s="192"/>
      <c r="I497" s="192"/>
      <c r="J497" s="192"/>
      <c r="K497" s="192"/>
    </row>
    <row r="498">
      <c r="D498" s="61" t="s">
        <v>8529</v>
      </c>
      <c r="E498" s="61" t="s">
        <v>8689</v>
      </c>
      <c r="F498" s="121" t="s">
        <v>8690</v>
      </c>
      <c r="H498" s="192"/>
      <c r="I498" s="192"/>
      <c r="J498" s="192"/>
      <c r="K498" s="192"/>
    </row>
    <row r="499">
      <c r="D499" s="61" t="s">
        <v>8529</v>
      </c>
      <c r="E499" s="61" t="s">
        <v>8691</v>
      </c>
      <c r="F499" s="121" t="s">
        <v>8692</v>
      </c>
      <c r="H499" s="192"/>
      <c r="I499" s="192"/>
      <c r="J499" s="192"/>
      <c r="K499" s="192"/>
    </row>
    <row r="500">
      <c r="D500" s="61" t="s">
        <v>8529</v>
      </c>
      <c r="E500" s="61" t="s">
        <v>8693</v>
      </c>
      <c r="F500" s="121" t="s">
        <v>8694</v>
      </c>
      <c r="H500" s="192"/>
      <c r="I500" s="192"/>
      <c r="J500" s="192"/>
      <c r="K500" s="192"/>
    </row>
    <row r="501">
      <c r="D501" s="61" t="s">
        <v>8529</v>
      </c>
      <c r="E501" s="61" t="s">
        <v>8695</v>
      </c>
      <c r="F501" s="121" t="s">
        <v>8696</v>
      </c>
      <c r="H501" s="192"/>
      <c r="I501" s="192"/>
      <c r="J501" s="192"/>
      <c r="K501" s="192"/>
    </row>
    <row r="502">
      <c r="D502" s="61" t="s">
        <v>8599</v>
      </c>
      <c r="E502" s="61" t="s">
        <v>8697</v>
      </c>
      <c r="F502" s="121" t="s">
        <v>8698</v>
      </c>
      <c r="H502" s="192"/>
      <c r="I502" s="192"/>
      <c r="J502" s="192"/>
      <c r="K502" s="192"/>
    </row>
    <row r="503">
      <c r="D503" s="61" t="s">
        <v>8529</v>
      </c>
      <c r="E503" s="61" t="s">
        <v>8699</v>
      </c>
      <c r="F503" s="121" t="s">
        <v>8700</v>
      </c>
      <c r="H503" s="192"/>
      <c r="I503" s="192"/>
      <c r="J503" s="192"/>
      <c r="K503" s="192"/>
    </row>
    <row r="504">
      <c r="D504" s="61" t="s">
        <v>8529</v>
      </c>
      <c r="E504" s="61" t="s">
        <v>8701</v>
      </c>
      <c r="F504" s="121" t="s">
        <v>8702</v>
      </c>
      <c r="H504" s="192"/>
      <c r="I504" s="192"/>
      <c r="J504" s="192"/>
      <c r="K504" s="192"/>
    </row>
    <row r="505">
      <c r="D505" s="61" t="s">
        <v>8529</v>
      </c>
      <c r="E505" s="61" t="s">
        <v>8703</v>
      </c>
      <c r="F505" s="121" t="s">
        <v>8704</v>
      </c>
      <c r="H505" s="192"/>
      <c r="I505" s="192"/>
      <c r="J505" s="192"/>
      <c r="K505" s="192"/>
    </row>
    <row r="506">
      <c r="D506" s="61" t="s">
        <v>8529</v>
      </c>
      <c r="E506" s="61" t="s">
        <v>8705</v>
      </c>
      <c r="F506" s="121" t="s">
        <v>8706</v>
      </c>
      <c r="H506" s="192"/>
      <c r="I506" s="192"/>
      <c r="J506" s="192"/>
      <c r="K506" s="192"/>
    </row>
    <row r="507">
      <c r="D507" s="61" t="s">
        <v>8529</v>
      </c>
      <c r="E507" s="61" t="s">
        <v>8707</v>
      </c>
      <c r="F507" s="121" t="s">
        <v>8708</v>
      </c>
      <c r="H507" s="192"/>
      <c r="I507" s="192"/>
      <c r="J507" s="192"/>
      <c r="K507" s="192"/>
    </row>
    <row r="508">
      <c r="D508" s="61" t="s">
        <v>8599</v>
      </c>
      <c r="E508" s="61" t="s">
        <v>8600</v>
      </c>
      <c r="F508" s="121" t="s">
        <v>8709</v>
      </c>
      <c r="H508" s="192"/>
      <c r="I508" s="192"/>
      <c r="J508" s="192"/>
      <c r="K508" s="192"/>
    </row>
    <row r="509">
      <c r="D509" s="61" t="s">
        <v>8599</v>
      </c>
      <c r="E509" s="61" t="s">
        <v>8710</v>
      </c>
      <c r="F509" s="121" t="s">
        <v>8711</v>
      </c>
      <c r="H509" s="192"/>
      <c r="I509" s="192"/>
      <c r="J509" s="192"/>
      <c r="K509" s="192"/>
    </row>
    <row r="510">
      <c r="D510" s="61" t="s">
        <v>8529</v>
      </c>
      <c r="E510" s="61" t="s">
        <v>8712</v>
      </c>
      <c r="F510" s="121" t="s">
        <v>8713</v>
      </c>
      <c r="H510" s="192"/>
      <c r="I510" s="192"/>
      <c r="J510" s="192"/>
      <c r="K510" s="192"/>
    </row>
    <row r="511">
      <c r="D511" s="61" t="s">
        <v>8532</v>
      </c>
      <c r="E511" s="61" t="s">
        <v>8714</v>
      </c>
      <c r="F511" s="121" t="s">
        <v>8715</v>
      </c>
      <c r="H511" s="192"/>
      <c r="I511" s="192"/>
      <c r="J511" s="192"/>
      <c r="K511" s="192"/>
    </row>
    <row r="512">
      <c r="D512" s="61" t="s">
        <v>8529</v>
      </c>
      <c r="E512" s="61" t="s">
        <v>8716</v>
      </c>
      <c r="F512" s="121" t="s">
        <v>8717</v>
      </c>
      <c r="H512" s="192"/>
      <c r="I512" s="192"/>
      <c r="J512" s="192"/>
      <c r="K512" s="192"/>
    </row>
    <row r="513">
      <c r="D513" s="61" t="s">
        <v>8532</v>
      </c>
      <c r="E513" s="61" t="s">
        <v>8718</v>
      </c>
      <c r="F513" s="121" t="s">
        <v>8719</v>
      </c>
      <c r="H513" s="192"/>
      <c r="I513" s="192"/>
      <c r="J513" s="192"/>
      <c r="K513" s="192"/>
    </row>
    <row r="514">
      <c r="D514" s="61" t="s">
        <v>8599</v>
      </c>
      <c r="E514" s="61" t="s">
        <v>8720</v>
      </c>
      <c r="F514" s="121" t="s">
        <v>8721</v>
      </c>
      <c r="H514" s="192"/>
      <c r="I514" s="192"/>
      <c r="J514" s="192"/>
      <c r="K514" s="192"/>
    </row>
    <row r="515">
      <c r="D515" s="61" t="s">
        <v>8529</v>
      </c>
      <c r="E515" s="61" t="s">
        <v>8722</v>
      </c>
      <c r="F515" s="121" t="s">
        <v>8723</v>
      </c>
      <c r="H515" s="192"/>
      <c r="I515" s="192"/>
      <c r="J515" s="192"/>
      <c r="K515" s="192"/>
    </row>
    <row r="516">
      <c r="D516" s="61" t="s">
        <v>16</v>
      </c>
      <c r="E516" s="61" t="s">
        <v>8724</v>
      </c>
      <c r="F516" s="121" t="s">
        <v>8725</v>
      </c>
      <c r="H516" s="192"/>
      <c r="I516" s="192"/>
      <c r="J516" s="192"/>
      <c r="K516" s="192"/>
    </row>
    <row r="517">
      <c r="D517" s="61" t="s">
        <v>8599</v>
      </c>
      <c r="E517" s="61" t="s">
        <v>8726</v>
      </c>
      <c r="F517" s="121" t="s">
        <v>8727</v>
      </c>
      <c r="H517" s="192"/>
      <c r="I517" s="192"/>
      <c r="J517" s="192"/>
      <c r="K517" s="192"/>
    </row>
    <row r="518">
      <c r="D518" s="61" t="s">
        <v>8529</v>
      </c>
      <c r="E518" s="61" t="s">
        <v>8728</v>
      </c>
      <c r="F518" s="121" t="s">
        <v>8729</v>
      </c>
      <c r="H518" s="192"/>
      <c r="I518" s="192"/>
      <c r="J518" s="192"/>
      <c r="K518" s="192"/>
    </row>
    <row r="519">
      <c r="D519" s="61" t="s">
        <v>8529</v>
      </c>
      <c r="E519" s="61" t="s">
        <v>8730</v>
      </c>
      <c r="F519" s="121" t="s">
        <v>8731</v>
      </c>
      <c r="H519" s="192"/>
      <c r="I519" s="192"/>
      <c r="J519" s="192"/>
      <c r="K519" s="192"/>
    </row>
    <row r="520">
      <c r="D520" s="61" t="s">
        <v>8532</v>
      </c>
      <c r="E520" s="61" t="s">
        <v>8732</v>
      </c>
      <c r="F520" s="121" t="s">
        <v>8733</v>
      </c>
      <c r="H520" s="192"/>
      <c r="I520" s="192"/>
      <c r="J520" s="192"/>
      <c r="K520" s="192"/>
    </row>
    <row r="521">
      <c r="D521" s="61" t="s">
        <v>8599</v>
      </c>
      <c r="E521" s="61" t="s">
        <v>8734</v>
      </c>
      <c r="F521" s="121" t="s">
        <v>8735</v>
      </c>
      <c r="H521" s="192"/>
      <c r="I521" s="192"/>
      <c r="J521" s="192"/>
      <c r="K521" s="192"/>
    </row>
    <row r="522">
      <c r="D522" s="61" t="s">
        <v>8529</v>
      </c>
      <c r="E522" s="61" t="s">
        <v>8736</v>
      </c>
      <c r="F522" s="121" t="s">
        <v>8737</v>
      </c>
      <c r="H522" s="192"/>
      <c r="I522" s="192"/>
      <c r="J522" s="192"/>
      <c r="K522" s="192"/>
    </row>
    <row r="523">
      <c r="D523" s="61" t="s">
        <v>8529</v>
      </c>
      <c r="E523" s="61" t="s">
        <v>8738</v>
      </c>
      <c r="F523" s="121" t="s">
        <v>8739</v>
      </c>
      <c r="H523" s="192"/>
      <c r="I523" s="192"/>
      <c r="J523" s="192"/>
      <c r="K523" s="192"/>
    </row>
    <row r="524">
      <c r="D524" s="61" t="s">
        <v>8529</v>
      </c>
      <c r="E524" s="61" t="s">
        <v>8740</v>
      </c>
      <c r="F524" s="121" t="s">
        <v>8741</v>
      </c>
      <c r="H524" s="192"/>
      <c r="I524" s="192"/>
      <c r="J524" s="192"/>
      <c r="K524" s="192"/>
    </row>
    <row r="525">
      <c r="D525" s="61" t="s">
        <v>8529</v>
      </c>
      <c r="E525" s="61" t="s">
        <v>8742</v>
      </c>
      <c r="F525" s="121" t="s">
        <v>8743</v>
      </c>
      <c r="H525" s="192"/>
      <c r="I525" s="192"/>
      <c r="J525" s="192"/>
      <c r="K525" s="192"/>
    </row>
    <row r="526">
      <c r="D526" s="61" t="s">
        <v>8529</v>
      </c>
      <c r="E526" s="61" t="s">
        <v>8744</v>
      </c>
      <c r="F526" s="121" t="s">
        <v>8745</v>
      </c>
      <c r="H526" s="192"/>
      <c r="I526" s="192"/>
      <c r="J526" s="192"/>
      <c r="K526" s="192"/>
    </row>
    <row r="527">
      <c r="D527" s="61" t="s">
        <v>8599</v>
      </c>
      <c r="E527" s="61" t="s">
        <v>8746</v>
      </c>
      <c r="F527" s="121" t="s">
        <v>8747</v>
      </c>
      <c r="H527" s="192"/>
      <c r="I527" s="192"/>
      <c r="J527" s="192"/>
      <c r="K527" s="192"/>
    </row>
    <row r="528">
      <c r="D528" s="61" t="s">
        <v>8599</v>
      </c>
      <c r="E528" s="61" t="s">
        <v>8748</v>
      </c>
      <c r="F528" s="121" t="s">
        <v>8749</v>
      </c>
      <c r="H528" s="192"/>
      <c r="I528" s="192"/>
      <c r="J528" s="192"/>
      <c r="K528" s="192"/>
    </row>
    <row r="529">
      <c r="D529" s="61" t="s">
        <v>8599</v>
      </c>
      <c r="E529" s="61" t="s">
        <v>8750</v>
      </c>
      <c r="F529" s="121" t="s">
        <v>8751</v>
      </c>
      <c r="H529" s="192"/>
      <c r="I529" s="192"/>
      <c r="J529" s="192"/>
      <c r="K529" s="192"/>
    </row>
  </sheetData>
  <conditionalFormatting sqref="C3">
    <cfRule type="notContainsBlanks" dxfId="0" priority="1">
      <formula>LEN(TRIM(C3))&gt;0</formula>
    </cfRule>
  </conditionalFormatting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1.13"/>
    <col customWidth="1" min="2" max="2" width="24.63"/>
    <col customWidth="1" min="3" max="3" width="46.25"/>
    <col customWidth="1" min="4" max="4" width="27.88"/>
    <col customWidth="1" min="5" max="5" width="49.75"/>
    <col customWidth="1" min="6" max="6" width="35.0"/>
    <col customWidth="1" min="7" max="7" width="16.63"/>
    <col customWidth="1" hidden="1" min="8" max="8" width="29.88"/>
    <col customWidth="1" hidden="1" min="9" max="9" width="17.5"/>
    <col customWidth="1" hidden="1" min="10" max="10" width="35.13"/>
    <col customWidth="1" hidden="1" min="11" max="11" width="60.8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48" t="s">
        <v>4</v>
      </c>
      <c r="F1" s="2" t="s">
        <v>6</v>
      </c>
      <c r="G1" s="348" t="s">
        <v>7</v>
      </c>
      <c r="H1" s="187" t="s">
        <v>7173</v>
      </c>
      <c r="I1" s="187" t="s">
        <v>7174</v>
      </c>
      <c r="J1" s="187" t="s">
        <v>7175</v>
      </c>
      <c r="K1" s="2" t="s">
        <v>7176</v>
      </c>
      <c r="L1" s="2" t="s">
        <v>7178</v>
      </c>
      <c r="M1" s="2" t="s">
        <v>6144</v>
      </c>
      <c r="N1" s="2" t="s">
        <v>7179</v>
      </c>
      <c r="O1" s="2" t="s">
        <v>7180</v>
      </c>
      <c r="P1" s="2" t="s">
        <v>8</v>
      </c>
      <c r="Q1" s="2" t="s">
        <v>9</v>
      </c>
      <c r="R1" s="2" t="s">
        <v>8439</v>
      </c>
      <c r="S1" s="2" t="s">
        <v>7181</v>
      </c>
      <c r="T1" s="2" t="s">
        <v>7177</v>
      </c>
      <c r="U1" s="2" t="s">
        <v>7182</v>
      </c>
      <c r="V1" s="2" t="s">
        <v>7183</v>
      </c>
      <c r="W1" s="2" t="s">
        <v>7184</v>
      </c>
      <c r="X1" s="2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</row>
    <row r="2">
      <c r="A2" s="33" t="s">
        <v>5591</v>
      </c>
      <c r="B2" s="343" t="s">
        <v>11</v>
      </c>
      <c r="C2" s="12" t="s">
        <v>12</v>
      </c>
      <c r="D2" s="12" t="s">
        <v>12</v>
      </c>
      <c r="E2" s="137" t="s">
        <v>4213</v>
      </c>
      <c r="F2" s="121" t="s">
        <v>12</v>
      </c>
      <c r="G2" s="138"/>
      <c r="H2" s="192" t="str">
        <f t="shared" ref="H2:H5" si="1">lower(C2)</f>
        <v>center</v>
      </c>
      <c r="I2" s="192" t="b">
        <f t="shared" ref="I2:I5" si="2">exact(H2, J2)</f>
        <v>1</v>
      </c>
      <c r="J2" s="192" t="str">
        <f>IFERROR(__xludf.DUMMYFUNCTION("regexreplace(F2, ""_"", """")"),"center")</f>
        <v>center</v>
      </c>
      <c r="K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""ses"")"),"center")</f>
        <v>center</v>
      </c>
      <c r="L2" s="193"/>
      <c r="M2" s="193"/>
      <c r="N2" s="193"/>
      <c r="O2" s="193"/>
      <c r="P2" s="143" t="s">
        <v>14</v>
      </c>
      <c r="Q2" s="143" t="s">
        <v>14</v>
      </c>
    </row>
    <row r="3">
      <c r="A3" s="33"/>
      <c r="B3" s="343" t="s">
        <v>11</v>
      </c>
      <c r="C3" s="12" t="s">
        <v>4206</v>
      </c>
      <c r="D3" s="12" t="s">
        <v>12</v>
      </c>
      <c r="E3" s="137" t="s">
        <v>12</v>
      </c>
      <c r="F3" s="121" t="s">
        <v>4207</v>
      </c>
      <c r="G3" s="138"/>
      <c r="H3" s="192" t="str">
        <f t="shared" si="1"/>
        <v>followupcenter</v>
      </c>
      <c r="I3" s="192" t="b">
        <f t="shared" si="2"/>
        <v>1</v>
      </c>
      <c r="J3" s="192" t="str">
        <f>IFERROR(__xludf.DUMMYFUNCTION("regexreplace(F3, ""_"", """")"),"followupcenter")</f>
        <v>followupcenter</v>
      </c>
      <c r="K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""ses"")"),"followup_center")</f>
        <v>followup_center</v>
      </c>
      <c r="L3" s="193"/>
      <c r="M3" s="193"/>
      <c r="N3" s="193"/>
      <c r="O3" s="193"/>
      <c r="P3" s="143" t="s">
        <v>5592</v>
      </c>
      <c r="Q3" s="143" t="s">
        <v>5592</v>
      </c>
      <c r="U3" s="344"/>
    </row>
    <row r="4">
      <c r="A4" s="33"/>
      <c r="B4" s="343" t="s">
        <v>11</v>
      </c>
      <c r="C4" s="12" t="s">
        <v>15</v>
      </c>
      <c r="D4" s="12" t="s">
        <v>16</v>
      </c>
      <c r="E4" s="137" t="s">
        <v>4215</v>
      </c>
      <c r="F4" s="121" t="s">
        <v>18</v>
      </c>
      <c r="G4" s="138"/>
      <c r="H4" s="192" t="str">
        <f t="shared" si="1"/>
        <v>subjectid</v>
      </c>
      <c r="I4" s="192" t="b">
        <f t="shared" si="2"/>
        <v>1</v>
      </c>
      <c r="J4" s="192" t="str">
        <f>IFERROR(__xludf.DUMMYFUNCTION("regexreplace(F4, ""_"", """")"),"subjectid")</f>
        <v>subjectid</v>
      </c>
      <c r="K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""ses"")"),"subject_id")</f>
        <v>subject_id</v>
      </c>
      <c r="L4" s="193"/>
      <c r="M4" s="193"/>
      <c r="N4" s="193"/>
      <c r="O4" s="193"/>
      <c r="P4" s="143" t="s">
        <v>19</v>
      </c>
      <c r="Q4" s="143" t="s">
        <v>19</v>
      </c>
    </row>
    <row r="5">
      <c r="A5" s="33"/>
      <c r="B5" s="343" t="s">
        <v>11</v>
      </c>
      <c r="C5" s="12" t="s">
        <v>4216</v>
      </c>
      <c r="D5" s="12" t="s">
        <v>16</v>
      </c>
      <c r="E5" s="137" t="s">
        <v>4217</v>
      </c>
      <c r="F5" s="121" t="s">
        <v>4218</v>
      </c>
      <c r="G5" s="138"/>
      <c r="H5" s="192" t="str">
        <f t="shared" si="1"/>
        <v>followupid</v>
      </c>
      <c r="I5" s="192" t="b">
        <f t="shared" si="2"/>
        <v>1</v>
      </c>
      <c r="J5" s="192" t="str">
        <f>IFERROR(__xludf.DUMMYFUNCTION("regexreplace(F5, ""_"", """")"),"followupid")</f>
        <v>followupid</v>
      </c>
      <c r="K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""ses"")"),"followup_id")</f>
        <v>followup_id</v>
      </c>
      <c r="L5" s="193"/>
      <c r="M5" s="193"/>
      <c r="N5" s="193"/>
      <c r="O5" s="193"/>
      <c r="P5" s="143" t="s">
        <v>4219</v>
      </c>
      <c r="Q5" s="143" t="s">
        <v>5593</v>
      </c>
    </row>
    <row r="6">
      <c r="A6" s="33"/>
      <c r="B6" s="33"/>
      <c r="C6" s="12"/>
      <c r="D6" s="12"/>
      <c r="E6" s="137"/>
      <c r="F6" s="121"/>
      <c r="G6" s="138"/>
      <c r="H6" s="192"/>
      <c r="I6" s="192"/>
      <c r="J6" s="192"/>
      <c r="K6" s="121"/>
      <c r="L6" s="193"/>
      <c r="M6" s="193"/>
      <c r="N6" s="193"/>
      <c r="O6" s="193"/>
      <c r="P6" s="194"/>
      <c r="Q6" s="194"/>
    </row>
    <row r="7">
      <c r="A7" s="33"/>
      <c r="B7" s="33" t="s">
        <v>5594</v>
      </c>
      <c r="C7" s="12" t="s">
        <v>5595</v>
      </c>
      <c r="D7" s="12" t="s">
        <v>40</v>
      </c>
      <c r="E7" s="142" t="s">
        <v>5596</v>
      </c>
      <c r="F7" s="121" t="s">
        <v>5595</v>
      </c>
      <c r="G7" s="138"/>
      <c r="H7" s="192" t="str">
        <f t="shared" ref="H7:H40" si="3">lower(C7)</f>
        <v>acidosis</v>
      </c>
      <c r="I7" s="192" t="b">
        <f t="shared" ref="I7:I40" si="4">exact(H7, J7)</f>
        <v>1</v>
      </c>
      <c r="J7" s="192" t="str">
        <f>IFERROR(__xludf.DUMMYFUNCTION("regexreplace(F7, ""_"", """")"),"acidosis")</f>
        <v>acidosis</v>
      </c>
      <c r="K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7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""ses"")"),"acidosis")</f>
        <v>acidosis</v>
      </c>
      <c r="L7" s="193"/>
      <c r="M7" s="193"/>
      <c r="N7" s="193"/>
      <c r="O7" s="193"/>
      <c r="P7" s="194"/>
      <c r="Q7" s="143" t="s">
        <v>5595</v>
      </c>
    </row>
    <row r="8">
      <c r="A8" s="33"/>
      <c r="B8" s="33" t="s">
        <v>5594</v>
      </c>
      <c r="C8" s="12" t="s">
        <v>5597</v>
      </c>
      <c r="D8" s="12" t="s">
        <v>31</v>
      </c>
      <c r="E8" s="142" t="s">
        <v>5598</v>
      </c>
      <c r="F8" s="121" t="s">
        <v>5599</v>
      </c>
      <c r="G8" s="138"/>
      <c r="H8" s="192" t="str">
        <f t="shared" si="3"/>
        <v>agedeath_day</v>
      </c>
      <c r="I8" s="192" t="b">
        <f t="shared" si="4"/>
        <v>0</v>
      </c>
      <c r="J8" s="192" t="str">
        <f>IFERROR(__xludf.DUMMYFUNCTION("regexreplace(F8, ""_"", """")"),"agedeathday")</f>
        <v>agedeathday</v>
      </c>
      <c r="K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8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""ses"")"),"age_death_day")</f>
        <v>age_death_day</v>
      </c>
      <c r="L8" s="193"/>
      <c r="M8" s="193"/>
      <c r="N8" s="193"/>
      <c r="O8" s="193"/>
      <c r="P8" s="194"/>
      <c r="Q8" s="143" t="s">
        <v>5600</v>
      </c>
    </row>
    <row r="9">
      <c r="A9" s="33"/>
      <c r="B9" s="33" t="s">
        <v>5594</v>
      </c>
      <c r="C9" s="12" t="s">
        <v>5601</v>
      </c>
      <c r="D9" s="12" t="s">
        <v>483</v>
      </c>
      <c r="E9" s="142" t="s">
        <v>5602</v>
      </c>
      <c r="F9" s="121" t="s">
        <v>5603</v>
      </c>
      <c r="G9" s="138"/>
      <c r="H9" s="192" t="str">
        <f t="shared" si="3"/>
        <v>agerand_hr</v>
      </c>
      <c r="I9" s="192" t="b">
        <f t="shared" si="4"/>
        <v>0</v>
      </c>
      <c r="J9" s="192" t="str">
        <f>IFERROR(__xludf.DUMMYFUNCTION("regexreplace(F9, ""_"", """")"),"agerandhr")</f>
        <v>agerandhr</v>
      </c>
      <c r="K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9, ""([A-Z])"", ""_$1"")), ""m_r_i"", ""mri""), ""_i_d$"", ""_id""), ""d_n_r"", ""dnr""), ""a_p_g_a_r"", ""apgar""), ""_p_h"", ""_ph""), ""_p_c_o2"", ""_pco2""), ""_p_o2"", ""_po2""), ""_h_c_o3"", ""_hco3""), ""_a_s_t_s_g_o_t"", ""_ast_sgot""), ""_a_l"&amp;"_t_s_g_p_t"", ""_alt_sgpt""),  ""m_eq_per_l"", ""_meqperl""), ""mg_perd_l"", ""_mgperdl""), ""mm_hg"", ""_mmhg""), ""_u_per_l"", ""_uperl""), ""^_"", """"), ""e_k_g"", ""ekg""), ""s_a_e"", ""sae""), ""r_t_i"", ""rti""), ""f_l_a_i_r"", ""flair""), ""g_r_e_"&amp;"s_w_i"",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""ses"")"),"age_rand_hr")</f>
        <v>age_rand_hr</v>
      </c>
      <c r="L9" s="193"/>
      <c r="M9" s="193"/>
      <c r="N9" s="193"/>
      <c r="O9" s="193"/>
      <c r="P9" s="194"/>
      <c r="Q9" s="143" t="s">
        <v>5604</v>
      </c>
    </row>
    <row r="10">
      <c r="A10" s="33"/>
      <c r="B10" s="33" t="s">
        <v>5594</v>
      </c>
      <c r="C10" s="12" t="s">
        <v>5605</v>
      </c>
      <c r="D10" s="12" t="s">
        <v>40</v>
      </c>
      <c r="E10" s="142" t="s">
        <v>5606</v>
      </c>
      <c r="F10" s="121" t="s">
        <v>5607</v>
      </c>
      <c r="G10" s="138"/>
      <c r="H10" s="192" t="str">
        <f t="shared" si="3"/>
        <v>baselineanticonvulsants</v>
      </c>
      <c r="I10" s="192" t="b">
        <f t="shared" si="4"/>
        <v>1</v>
      </c>
      <c r="J10" s="192" t="str">
        <f>IFERROR(__xludf.DUMMYFUNCTION("regexreplace(F10, ""_"", """")"),"baselineanticonvulsants")</f>
        <v>baselineanticonvulsants</v>
      </c>
      <c r="K1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""ses"")"),"baseline_anticonvulsants")</f>
        <v>baseline_anticonvulsants</v>
      </c>
      <c r="L10" s="193"/>
      <c r="M10" s="193"/>
      <c r="N10" s="193"/>
      <c r="O10" s="193"/>
      <c r="P10" s="194"/>
      <c r="Q10" s="143" t="s">
        <v>5608</v>
      </c>
    </row>
    <row r="11">
      <c r="A11" s="33"/>
      <c r="B11" s="33" t="s">
        <v>5594</v>
      </c>
      <c r="C11" s="12" t="s">
        <v>5609</v>
      </c>
      <c r="D11" s="12" t="s">
        <v>40</v>
      </c>
      <c r="E11" s="142" t="s">
        <v>5610</v>
      </c>
      <c r="F11" s="121" t="s">
        <v>5611</v>
      </c>
      <c r="G11" s="138"/>
      <c r="H11" s="192" t="str">
        <f t="shared" si="3"/>
        <v>dischargeanticonvulsants</v>
      </c>
      <c r="I11" s="192" t="b">
        <f t="shared" si="4"/>
        <v>1</v>
      </c>
      <c r="J11" s="192" t="str">
        <f>IFERROR(__xludf.DUMMYFUNCTION("regexreplace(F11, ""_"", """")"),"dischargeanticonvulsants")</f>
        <v>dischargeanticonvulsants</v>
      </c>
      <c r="K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""ses"")"),"discharge_anticonvulsants")</f>
        <v>discharge_anticonvulsants</v>
      </c>
      <c r="L11" s="193"/>
      <c r="M11" s="193"/>
      <c r="N11" s="193"/>
      <c r="O11" s="193"/>
      <c r="P11" s="143" t="s">
        <v>5612</v>
      </c>
      <c r="Q11" s="143" t="s">
        <v>5612</v>
      </c>
    </row>
    <row r="12">
      <c r="A12" s="33"/>
      <c r="B12" s="33" t="s">
        <v>5594</v>
      </c>
      <c r="C12" s="12" t="s">
        <v>5613</v>
      </c>
      <c r="D12" s="12" t="s">
        <v>40</v>
      </c>
      <c r="E12" s="142" t="s">
        <v>5614</v>
      </c>
      <c r="F12" s="121" t="s">
        <v>5615</v>
      </c>
      <c r="G12" s="138"/>
      <c r="H12" s="192" t="str">
        <f t="shared" si="3"/>
        <v>inotropicagent</v>
      </c>
      <c r="I12" s="192" t="b">
        <f t="shared" si="4"/>
        <v>1</v>
      </c>
      <c r="J12" s="192" t="str">
        <f>IFERROR(__xludf.DUMMYFUNCTION("regexreplace(F12, ""_"", """")"),"inotropicagent")</f>
        <v>inotropicagent</v>
      </c>
      <c r="K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""ses"")"),"inotropic_agent")</f>
        <v>inotropic_agent</v>
      </c>
      <c r="L12" s="193"/>
      <c r="M12" s="193"/>
      <c r="N12" s="193"/>
      <c r="O12" s="193"/>
      <c r="P12" s="194"/>
      <c r="Q12" s="143" t="s">
        <v>5616</v>
      </c>
    </row>
    <row r="13">
      <c r="A13" s="33"/>
      <c r="B13" s="33" t="s">
        <v>5594</v>
      </c>
      <c r="C13" s="12" t="s">
        <v>5617</v>
      </c>
      <c r="D13" s="12" t="s">
        <v>40</v>
      </c>
      <c r="E13" s="142" t="s">
        <v>5618</v>
      </c>
      <c r="F13" s="121" t="s">
        <v>8752</v>
      </c>
      <c r="G13" s="138"/>
      <c r="H13" s="192" t="str">
        <f t="shared" si="3"/>
        <v>perinatalsentinelevent</v>
      </c>
      <c r="I13" s="192" t="b">
        <f t="shared" si="4"/>
        <v>0</v>
      </c>
      <c r="J13" s="192" t="str">
        <f>IFERROR(__xludf.DUMMYFUNCTION("regexreplace(F13, ""_"", """")"),"preinatalsentinelevent")</f>
        <v>preinatalsentinelevent</v>
      </c>
      <c r="K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""ses"")"),"perinatal_sentinel_event")</f>
        <v>perinatal_sentinel_event</v>
      </c>
      <c r="L13" s="193"/>
      <c r="M13" s="193"/>
      <c r="N13" s="193"/>
      <c r="O13" s="193"/>
      <c r="P13" s="194"/>
      <c r="Q13" s="143" t="s">
        <v>5620</v>
      </c>
    </row>
    <row r="14">
      <c r="A14" s="33"/>
      <c r="B14" s="33" t="s">
        <v>5594</v>
      </c>
      <c r="C14" s="12" t="s">
        <v>3953</v>
      </c>
      <c r="D14" s="12" t="s">
        <v>40</v>
      </c>
      <c r="E14" s="142" t="s">
        <v>5621</v>
      </c>
      <c r="F14" s="121" t="s">
        <v>3955</v>
      </c>
      <c r="G14" s="138"/>
      <c r="H14" s="192" t="str">
        <f t="shared" si="3"/>
        <v>dischargeseizure</v>
      </c>
      <c r="I14" s="192" t="b">
        <f t="shared" si="4"/>
        <v>1</v>
      </c>
      <c r="J14" s="192" t="str">
        <f>IFERROR(__xludf.DUMMYFUNCTION("regexreplace(F14, ""_"", """")"),"dischargeseizure")</f>
        <v>dischargeseizure</v>
      </c>
      <c r="K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""ses"")"),"discharge_seizure")</f>
        <v>discharge_seizure</v>
      </c>
      <c r="L14" s="193"/>
      <c r="M14" s="193"/>
      <c r="N14" s="193"/>
      <c r="O14" s="193"/>
      <c r="P14" s="143" t="s">
        <v>5622</v>
      </c>
      <c r="Q14" s="143" t="s">
        <v>5622</v>
      </c>
    </row>
    <row r="15">
      <c r="A15" s="33"/>
      <c r="B15" s="33" t="s">
        <v>5594</v>
      </c>
      <c r="C15" s="12" t="s">
        <v>5623</v>
      </c>
      <c r="D15" s="12" t="s">
        <v>40</v>
      </c>
      <c r="E15" s="142" t="s">
        <v>5624</v>
      </c>
      <c r="F15" s="121" t="s">
        <v>5625</v>
      </c>
      <c r="G15" s="138"/>
      <c r="H15" s="192" t="str">
        <f t="shared" si="3"/>
        <v>apgar10minlt5</v>
      </c>
      <c r="I15" s="192" t="b">
        <f t="shared" si="4"/>
        <v>1</v>
      </c>
      <c r="J15" s="192" t="str">
        <f>IFERROR(__xludf.DUMMYFUNCTION("regexreplace(F15, ""_"", """")"),"apgar10minlt5")</f>
        <v>apgar10minlt5</v>
      </c>
      <c r="K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""ses"")"),"apgar10min_lt5")</f>
        <v>apgar10min_lt5</v>
      </c>
      <c r="L15" s="193"/>
      <c r="M15" s="193"/>
      <c r="N15" s="193"/>
      <c r="O15" s="193"/>
      <c r="P15" s="194"/>
      <c r="Q15" s="143" t="s">
        <v>5626</v>
      </c>
    </row>
    <row r="16">
      <c r="A16" s="33"/>
      <c r="B16" s="33" t="s">
        <v>5594</v>
      </c>
      <c r="C16" s="12" t="s">
        <v>5627</v>
      </c>
      <c r="D16" s="12" t="s">
        <v>40</v>
      </c>
      <c r="E16" s="142" t="s">
        <v>5628</v>
      </c>
      <c r="F16" s="121" t="s">
        <v>5629</v>
      </c>
      <c r="G16" s="138"/>
      <c r="H16" s="192" t="str">
        <f t="shared" si="3"/>
        <v>apgar10minlte5</v>
      </c>
      <c r="I16" s="192" t="b">
        <f t="shared" si="4"/>
        <v>1</v>
      </c>
      <c r="J16" s="192" t="str">
        <f>IFERROR(__xludf.DUMMYFUNCTION("regexreplace(F16, ""_"", """")"),"apgar10minlte5")</f>
        <v>apgar10minlte5</v>
      </c>
      <c r="K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""ses"")"),"apgar10min_lte5")</f>
        <v>apgar10min_lte5</v>
      </c>
      <c r="L16" s="193"/>
      <c r="M16" s="193"/>
      <c r="N16" s="193"/>
      <c r="O16" s="193"/>
      <c r="P16" s="194"/>
      <c r="Q16" s="143" t="s">
        <v>5630</v>
      </c>
    </row>
    <row r="17">
      <c r="A17" s="33"/>
      <c r="B17" s="33" t="s">
        <v>5594</v>
      </c>
      <c r="C17" s="12" t="s">
        <v>5631</v>
      </c>
      <c r="D17" s="12" t="s">
        <v>40</v>
      </c>
      <c r="E17" s="142" t="s">
        <v>5632</v>
      </c>
      <c r="F17" s="121" t="s">
        <v>5633</v>
      </c>
      <c r="G17" s="138"/>
      <c r="H17" s="192" t="str">
        <f t="shared" si="3"/>
        <v>apgar5minlte5</v>
      </c>
      <c r="I17" s="192" t="b">
        <f t="shared" si="4"/>
        <v>1</v>
      </c>
      <c r="J17" s="192" t="str">
        <f>IFERROR(__xludf.DUMMYFUNCTION("regexreplace(F17, ""_"", """")"),"apgar5minlte5")</f>
        <v>apgar5minlte5</v>
      </c>
      <c r="K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""ses"")"),"apgar5min_lte5")</f>
        <v>apgar5min_lte5</v>
      </c>
      <c r="L17" s="193"/>
      <c r="M17" s="193"/>
      <c r="N17" s="193"/>
      <c r="O17" s="193"/>
      <c r="P17" s="194"/>
      <c r="Q17" s="143" t="s">
        <v>5634</v>
      </c>
    </row>
    <row r="18">
      <c r="A18" s="33"/>
      <c r="B18" s="33" t="s">
        <v>5594</v>
      </c>
      <c r="C18" s="12" t="s">
        <v>1401</v>
      </c>
      <c r="D18" s="12" t="s">
        <v>483</v>
      </c>
      <c r="E18" s="142" t="s">
        <v>5635</v>
      </c>
      <c r="F18" s="121" t="s">
        <v>1402</v>
      </c>
      <c r="G18" s="138"/>
      <c r="H18" s="192" t="str">
        <f t="shared" si="3"/>
        <v>bloodgasbasedeficit_meqperl</v>
      </c>
      <c r="I18" s="192" t="b">
        <f t="shared" si="4"/>
        <v>0</v>
      </c>
      <c r="J18" s="192" t="str">
        <f>IFERROR(__xludf.DUMMYFUNCTION("regexreplace(F18, ""_"", """")"),"bloodgasbasedeficitmeqperl")</f>
        <v>bloodgasbasedeficitmeqperl</v>
      </c>
      <c r="K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""ses"")"),"blood_gas_base_deficit__meqperl")</f>
        <v>blood_gas_base_deficit__meqperl</v>
      </c>
      <c r="L18" s="193"/>
      <c r="M18" s="193"/>
      <c r="N18" s="193"/>
      <c r="O18" s="193"/>
      <c r="P18" s="194"/>
      <c r="Q18" s="143" t="s">
        <v>5636</v>
      </c>
    </row>
    <row r="19">
      <c r="A19" s="33"/>
      <c r="B19" s="33" t="s">
        <v>5594</v>
      </c>
      <c r="C19" s="12" t="s">
        <v>1385</v>
      </c>
      <c r="D19" s="12" t="s">
        <v>483</v>
      </c>
      <c r="E19" s="142" t="s">
        <v>5637</v>
      </c>
      <c r="F19" s="121" t="s">
        <v>1386</v>
      </c>
      <c r="G19" s="138"/>
      <c r="H19" s="192" t="str">
        <f t="shared" si="3"/>
        <v>bloodgasph</v>
      </c>
      <c r="I19" s="192" t="b">
        <f t="shared" si="4"/>
        <v>1</v>
      </c>
      <c r="J19" s="192" t="str">
        <f>IFERROR(__xludf.DUMMYFUNCTION("regexreplace(F19, ""_"", """")"),"bloodgasph")</f>
        <v>bloodgasph</v>
      </c>
      <c r="K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""ses"")"),"blood_gas_ph")</f>
        <v>blood_gas_ph</v>
      </c>
      <c r="L19" s="193"/>
      <c r="M19" s="193"/>
      <c r="N19" s="193"/>
      <c r="O19" s="193"/>
      <c r="P19" s="194"/>
      <c r="Q19" s="143" t="s">
        <v>5638</v>
      </c>
    </row>
    <row r="20">
      <c r="A20" s="33"/>
      <c r="B20" s="33" t="s">
        <v>5594</v>
      </c>
      <c r="C20" s="12" t="s">
        <v>5639</v>
      </c>
      <c r="D20" s="12" t="s">
        <v>40</v>
      </c>
      <c r="E20" s="142" t="s">
        <v>5640</v>
      </c>
      <c r="F20" s="121" t="s">
        <v>5641</v>
      </c>
      <c r="G20" s="138"/>
      <c r="H20" s="192" t="str">
        <f t="shared" si="3"/>
        <v>emergencycsection</v>
      </c>
      <c r="I20" s="192" t="b">
        <f t="shared" si="4"/>
        <v>1</v>
      </c>
      <c r="J20" s="192" t="str">
        <f>IFERROR(__xludf.DUMMYFUNCTION("regexreplace(F20, ""_"", """")"),"emergencycsection")</f>
        <v>emergencycsection</v>
      </c>
      <c r="K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""ses"")"),"emergency_c_section")</f>
        <v>emergency_c_section</v>
      </c>
      <c r="L20" s="193"/>
      <c r="M20" s="193"/>
      <c r="N20" s="193"/>
      <c r="O20" s="193"/>
      <c r="P20" s="194"/>
      <c r="Q20" s="143" t="s">
        <v>5642</v>
      </c>
    </row>
    <row r="21">
      <c r="A21" s="33"/>
      <c r="B21" s="33" t="s">
        <v>5594</v>
      </c>
      <c r="C21" s="12" t="s">
        <v>464</v>
      </c>
      <c r="D21" s="12" t="s">
        <v>464</v>
      </c>
      <c r="E21" s="142" t="s">
        <v>5643</v>
      </c>
      <c r="F21" s="121" t="s">
        <v>466</v>
      </c>
      <c r="G21" s="138"/>
      <c r="H21" s="192" t="str">
        <f t="shared" si="3"/>
        <v>encephalopathylevel</v>
      </c>
      <c r="I21" s="192" t="b">
        <f t="shared" si="4"/>
        <v>1</v>
      </c>
      <c r="J21" s="192" t="str">
        <f>IFERROR(__xludf.DUMMYFUNCTION("regexreplace(F21, ""_"", """")"),"encephalopathylevel")</f>
        <v>encephalopathylevel</v>
      </c>
      <c r="K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""ses"")"),"encephalopathy_level")</f>
        <v>encephalopathy_level</v>
      </c>
      <c r="L21" s="193"/>
      <c r="M21" s="193"/>
      <c r="N21" s="193"/>
      <c r="O21" s="193"/>
      <c r="P21" s="194"/>
      <c r="Q21" s="143" t="s">
        <v>5644</v>
      </c>
    </row>
    <row r="22">
      <c r="A22" s="33"/>
      <c r="B22" s="33" t="s">
        <v>5594</v>
      </c>
      <c r="C22" s="12" t="s">
        <v>5645</v>
      </c>
      <c r="D22" s="12" t="s">
        <v>40</v>
      </c>
      <c r="E22" s="142" t="s">
        <v>5646</v>
      </c>
      <c r="F22" s="121" t="s">
        <v>5647</v>
      </c>
      <c r="G22" s="138"/>
      <c r="H22" s="192" t="str">
        <f t="shared" si="3"/>
        <v>inotropicagentbaseline</v>
      </c>
      <c r="I22" s="192" t="b">
        <f t="shared" si="4"/>
        <v>1</v>
      </c>
      <c r="J22" s="192" t="str">
        <f>IFERROR(__xludf.DUMMYFUNCTION("regexreplace(F22, ""_"", """")"),"inotropicagentbaseline")</f>
        <v>inotropicagentbaseline</v>
      </c>
      <c r="K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""ses"")"),"inotropic_agent_baseline")</f>
        <v>inotropic_agent_baseline</v>
      </c>
      <c r="L22" s="193"/>
      <c r="M22" s="193"/>
      <c r="N22" s="193"/>
      <c r="O22" s="193"/>
      <c r="P22" s="194"/>
      <c r="Q22" s="143" t="s">
        <v>5648</v>
      </c>
    </row>
    <row r="23">
      <c r="A23" s="33"/>
      <c r="B23" s="33" t="s">
        <v>5594</v>
      </c>
      <c r="C23" s="12" t="s">
        <v>5649</v>
      </c>
      <c r="D23" s="12" t="s">
        <v>40</v>
      </c>
      <c r="E23" s="142" t="s">
        <v>5650</v>
      </c>
      <c r="F23" s="121" t="s">
        <v>5651</v>
      </c>
      <c r="G23" s="138"/>
      <c r="H23" s="192" t="str">
        <f t="shared" si="3"/>
        <v>malesex</v>
      </c>
      <c r="I23" s="192" t="b">
        <f t="shared" si="4"/>
        <v>1</v>
      </c>
      <c r="J23" s="192" t="str">
        <f>IFERROR(__xludf.DUMMYFUNCTION("regexreplace(F23, ""_"", """")"),"malesex")</f>
        <v>malesex</v>
      </c>
      <c r="K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""ses"")"),"male_sex")</f>
        <v>male_sex</v>
      </c>
      <c r="L23" s="193"/>
      <c r="M23" s="193"/>
      <c r="N23" s="193"/>
      <c r="O23" s="193"/>
      <c r="P23" s="194"/>
      <c r="Q23" s="143" t="s">
        <v>5652</v>
      </c>
    </row>
    <row r="24">
      <c r="A24" s="33"/>
      <c r="B24" s="33" t="s">
        <v>5594</v>
      </c>
      <c r="C24" s="12" t="s">
        <v>5653</v>
      </c>
      <c r="D24" s="12" t="s">
        <v>5654</v>
      </c>
      <c r="E24" s="142" t="s">
        <v>5655</v>
      </c>
      <c r="F24" s="121" t="s">
        <v>5656</v>
      </c>
      <c r="G24" s="138"/>
      <c r="H24" s="192" t="str">
        <f t="shared" si="3"/>
        <v>maternaleducation</v>
      </c>
      <c r="I24" s="192" t="b">
        <f t="shared" si="4"/>
        <v>1</v>
      </c>
      <c r="J24" s="192" t="str">
        <f>IFERROR(__xludf.DUMMYFUNCTION("regexreplace(F24, ""_"", """")"),"maternaleducation")</f>
        <v>maternaleducation</v>
      </c>
      <c r="K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""ses"")"),"maternal_education")</f>
        <v>maternal_education</v>
      </c>
      <c r="L24" s="193"/>
      <c r="M24" s="193"/>
      <c r="N24" s="193"/>
      <c r="O24" s="193"/>
      <c r="P24" s="194"/>
      <c r="Q24" s="143" t="s">
        <v>5657</v>
      </c>
    </row>
    <row r="25">
      <c r="A25" s="33"/>
      <c r="B25" s="33" t="s">
        <v>5594</v>
      </c>
      <c r="C25" s="12" t="s">
        <v>5658</v>
      </c>
      <c r="D25" s="12" t="s">
        <v>40</v>
      </c>
      <c r="E25" s="142" t="s">
        <v>5659</v>
      </c>
      <c r="F25" s="121" t="s">
        <v>5660</v>
      </c>
      <c r="G25" s="138"/>
      <c r="H25" s="192" t="str">
        <f t="shared" si="3"/>
        <v>motherinsurancepublic</v>
      </c>
      <c r="I25" s="192" t="b">
        <f t="shared" si="4"/>
        <v>1</v>
      </c>
      <c r="J25" s="192" t="str">
        <f>IFERROR(__xludf.DUMMYFUNCTION("regexreplace(F25, ""_"", """")"),"motherinsurancepublic")</f>
        <v>motherinsurancepublic</v>
      </c>
      <c r="K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""ses"")"),"mother_insurance_public")</f>
        <v>mother_insurance_public</v>
      </c>
      <c r="L25" s="193"/>
      <c r="M25" s="193"/>
      <c r="N25" s="193"/>
      <c r="O25" s="193"/>
      <c r="P25" s="194"/>
      <c r="Q25" s="143" t="s">
        <v>5661</v>
      </c>
    </row>
    <row r="26">
      <c r="A26" s="33"/>
      <c r="B26" s="33" t="s">
        <v>5594</v>
      </c>
      <c r="C26" s="12" t="s">
        <v>219</v>
      </c>
      <c r="D26" s="12" t="s">
        <v>5662</v>
      </c>
      <c r="E26" s="142" t="s">
        <v>5663</v>
      </c>
      <c r="F26" s="121" t="s">
        <v>222</v>
      </c>
      <c r="G26" s="138"/>
      <c r="H26" s="192" t="str">
        <f t="shared" si="3"/>
        <v>motherrace</v>
      </c>
      <c r="I26" s="192" t="b">
        <f t="shared" si="4"/>
        <v>1</v>
      </c>
      <c r="J26" s="192" t="str">
        <f>IFERROR(__xludf.DUMMYFUNCTION("regexreplace(F26, ""_"", """")"),"motherrace")</f>
        <v>motherrace</v>
      </c>
      <c r="K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""ses"")"),"mother_race")</f>
        <v>mother_race</v>
      </c>
      <c r="L26" s="193"/>
      <c r="M26" s="193"/>
      <c r="N26" s="193"/>
      <c r="O26" s="193"/>
      <c r="P26" s="194"/>
      <c r="Q26" s="143" t="s">
        <v>220</v>
      </c>
    </row>
    <row r="27">
      <c r="A27" s="33"/>
      <c r="B27" s="33" t="s">
        <v>5594</v>
      </c>
      <c r="C27" s="12" t="s">
        <v>5664</v>
      </c>
      <c r="D27" s="12" t="s">
        <v>31</v>
      </c>
      <c r="E27" s="142" t="s">
        <v>5665</v>
      </c>
      <c r="F27" s="121" t="s">
        <v>8753</v>
      </c>
      <c r="G27" s="138"/>
      <c r="H27" s="192" t="str">
        <f t="shared" si="3"/>
        <v>treatmentassignmentduration_hr</v>
      </c>
      <c r="I27" s="192" t="b">
        <f t="shared" si="4"/>
        <v>0</v>
      </c>
      <c r="J27" s="192" t="str">
        <f>IFERROR(__xludf.DUMMYFUNCTION("regexreplace(F27, ""_"", """")"),"treatmentassignmentduration")</f>
        <v>treatmentassignmentduration</v>
      </c>
      <c r="K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""ses"")"),"treatment_assignment_duration_hr")</f>
        <v>treatment_assignment_duration_hr</v>
      </c>
      <c r="L27" s="193"/>
      <c r="M27" s="193"/>
      <c r="N27" s="193"/>
      <c r="O27" s="193"/>
      <c r="P27" s="194"/>
      <c r="Q27" s="143" t="s">
        <v>5667</v>
      </c>
    </row>
    <row r="28">
      <c r="A28" s="33"/>
      <c r="B28" s="33" t="s">
        <v>5594</v>
      </c>
      <c r="C28" s="12" t="s">
        <v>5668</v>
      </c>
      <c r="D28" s="12" t="s">
        <v>483</v>
      </c>
      <c r="E28" s="142" t="s">
        <v>5669</v>
      </c>
      <c r="F28" s="121" t="s">
        <v>5670</v>
      </c>
      <c r="G28" s="138"/>
      <c r="H28" s="192" t="str">
        <f t="shared" si="3"/>
        <v>treatmentassignmenttemperature</v>
      </c>
      <c r="I28" s="192" t="b">
        <f t="shared" si="4"/>
        <v>1</v>
      </c>
      <c r="J28" s="192" t="str">
        <f>IFERROR(__xludf.DUMMYFUNCTION("regexreplace(F28, ""_"", """")"),"treatmentassignmenttemperature")</f>
        <v>treatmentassignmenttemperature</v>
      </c>
      <c r="K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""ses"")"),"treatment_assignment_temperature")</f>
        <v>treatment_assignment_temperature</v>
      </c>
      <c r="L28" s="193"/>
      <c r="M28" s="193"/>
      <c r="N28" s="193"/>
      <c r="O28" s="193"/>
      <c r="P28" s="194"/>
      <c r="Q28" s="143" t="s">
        <v>5671</v>
      </c>
    </row>
    <row r="29">
      <c r="A29" s="33"/>
      <c r="B29" s="33" t="s">
        <v>5594</v>
      </c>
      <c r="C29" s="12" t="s">
        <v>5672</v>
      </c>
      <c r="D29" s="12" t="s">
        <v>5673</v>
      </c>
      <c r="E29" s="142" t="s">
        <v>5674</v>
      </c>
      <c r="F29" s="121" t="s">
        <v>5675</v>
      </c>
      <c r="G29" s="138"/>
      <c r="H29" s="192" t="str">
        <f t="shared" si="3"/>
        <v>bloodgasbasedeficit_meqperlsrc</v>
      </c>
      <c r="I29" s="192" t="b">
        <f t="shared" si="4"/>
        <v>0</v>
      </c>
      <c r="J29" s="192" t="str">
        <f>IFERROR(__xludf.DUMMYFUNCTION("regexreplace(F29, ""_"", """")"),"bloodgasbasedeficitmeqperlsrc")</f>
        <v>bloodgasbasedeficitmeqperlsrc</v>
      </c>
      <c r="K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29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""ses"")"),"blood_gas_base_deficit__meqperl_src")</f>
        <v>blood_gas_base_deficit__meqperl_src</v>
      </c>
      <c r="L29" s="193"/>
      <c r="M29" s="193"/>
      <c r="N29" s="193"/>
      <c r="O29" s="193"/>
      <c r="P29" s="194"/>
      <c r="Q29" s="143" t="s">
        <v>5676</v>
      </c>
    </row>
    <row r="30">
      <c r="A30" s="33"/>
      <c r="B30" s="33" t="s">
        <v>5594</v>
      </c>
      <c r="C30" s="12" t="s">
        <v>5677</v>
      </c>
      <c r="D30" s="12" t="s">
        <v>5673</v>
      </c>
      <c r="E30" s="142" t="s">
        <v>5678</v>
      </c>
      <c r="F30" s="121" t="s">
        <v>5679</v>
      </c>
      <c r="G30" s="138"/>
      <c r="H30" s="192" t="str">
        <f t="shared" si="3"/>
        <v>bloodgasphsrc</v>
      </c>
      <c r="I30" s="192" t="b">
        <f t="shared" si="4"/>
        <v>1</v>
      </c>
      <c r="J30" s="192" t="str">
        <f>IFERROR(__xludf.DUMMYFUNCTION("regexreplace(F30, ""_"", """")"),"bloodgasphsrc")</f>
        <v>bloodgasphsrc</v>
      </c>
      <c r="K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""ses"")"),"blood_gas_ph_src")</f>
        <v>blood_gas_ph_src</v>
      </c>
      <c r="L30" s="193"/>
      <c r="M30" s="193"/>
      <c r="N30" s="193"/>
      <c r="O30" s="193"/>
      <c r="P30" s="194"/>
      <c r="Q30" s="143" t="s">
        <v>5680</v>
      </c>
    </row>
    <row r="31">
      <c r="A31" s="33"/>
      <c r="B31" s="33" t="s">
        <v>5594</v>
      </c>
      <c r="C31" s="12" t="s">
        <v>5681</v>
      </c>
      <c r="D31" s="12" t="s">
        <v>40</v>
      </c>
      <c r="E31" s="349" t="s">
        <v>5682</v>
      </c>
      <c r="F31" s="121" t="s">
        <v>5683</v>
      </c>
      <c r="G31" s="138"/>
      <c r="H31" s="192" t="str">
        <f t="shared" si="3"/>
        <v>usualcoolingtreatmentgroup</v>
      </c>
      <c r="I31" s="192" t="b">
        <f t="shared" si="4"/>
        <v>1</v>
      </c>
      <c r="J31" s="192" t="str">
        <f>IFERROR(__xludf.DUMMYFUNCTION("regexreplace(F31, ""_"", """")"),"usualcoolingtreatmentgroup")</f>
        <v>usualcoolingtreatmentgroup</v>
      </c>
      <c r="K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""ses"")"),"usual_cooling_treatment_group")</f>
        <v>usual_cooling_treatment_group</v>
      </c>
      <c r="L31" s="193"/>
      <c r="M31" s="193"/>
      <c r="N31" s="193"/>
      <c r="O31" s="193"/>
      <c r="P31" s="194"/>
      <c r="Q31" s="143" t="s">
        <v>5684</v>
      </c>
    </row>
    <row r="32">
      <c r="A32" s="33"/>
      <c r="B32" s="33" t="s">
        <v>5594</v>
      </c>
      <c r="C32" s="12" t="s">
        <v>5685</v>
      </c>
      <c r="D32" s="12" t="s">
        <v>40</v>
      </c>
      <c r="E32" s="142" t="s">
        <v>5686</v>
      </c>
      <c r="F32" s="121" t="s">
        <v>5685</v>
      </c>
      <c r="G32" s="138"/>
      <c r="H32" s="192" t="str">
        <f t="shared" si="3"/>
        <v>blindness</v>
      </c>
      <c r="I32" s="192" t="b">
        <f t="shared" si="4"/>
        <v>1</v>
      </c>
      <c r="J32" s="192" t="str">
        <f>IFERROR(__xludf.DUMMYFUNCTION("regexreplace(F32, ""_"", """")"),"blindness")</f>
        <v>blindness</v>
      </c>
      <c r="K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""ses"")"),"blindness")</f>
        <v>blindness</v>
      </c>
      <c r="L32" s="193"/>
      <c r="M32" s="193"/>
      <c r="N32" s="193"/>
      <c r="O32" s="193"/>
      <c r="P32" s="143" t="s">
        <v>5685</v>
      </c>
      <c r="Q32" s="143" t="s">
        <v>5685</v>
      </c>
    </row>
    <row r="33">
      <c r="A33" s="33"/>
      <c r="B33" s="33" t="s">
        <v>5594</v>
      </c>
      <c r="C33" s="12" t="s">
        <v>5687</v>
      </c>
      <c r="D33" s="12" t="s">
        <v>40</v>
      </c>
      <c r="E33" s="142" t="s">
        <v>5688</v>
      </c>
      <c r="F33" s="121" t="s">
        <v>5689</v>
      </c>
      <c r="G33" s="138"/>
      <c r="H33" s="192" t="str">
        <f t="shared" si="3"/>
        <v>moderateseverecerebralpalsy</v>
      </c>
      <c r="I33" s="192" t="b">
        <f t="shared" si="4"/>
        <v>1</v>
      </c>
      <c r="J33" s="192" t="str">
        <f>IFERROR(__xludf.DUMMYFUNCTION("regexreplace(F33, ""_"", """")"),"moderateseverecerebralpalsy")</f>
        <v>moderateseverecerebralpalsy</v>
      </c>
      <c r="K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""ses"")"),"moderate_severe_cerebral_palsy")</f>
        <v>moderate_severe_cerebral_palsy</v>
      </c>
      <c r="L33" s="193"/>
      <c r="M33" s="193"/>
      <c r="N33" s="193"/>
      <c r="O33" s="193"/>
      <c r="P33" s="143" t="s">
        <v>5690</v>
      </c>
      <c r="Q33" s="143" t="s">
        <v>5690</v>
      </c>
    </row>
    <row r="34">
      <c r="A34" s="33"/>
      <c r="B34" s="33" t="s">
        <v>5594</v>
      </c>
      <c r="C34" s="12" t="s">
        <v>5087</v>
      </c>
      <c r="D34" s="12" t="s">
        <v>40</v>
      </c>
      <c r="E34" s="142" t="s">
        <v>5691</v>
      </c>
      <c r="F34" s="121" t="s">
        <v>5089</v>
      </c>
      <c r="G34" s="138"/>
      <c r="H34" s="192" t="str">
        <f t="shared" si="3"/>
        <v>cerebralpalsy</v>
      </c>
      <c r="I34" s="192" t="b">
        <f t="shared" si="4"/>
        <v>1</v>
      </c>
      <c r="J34" s="192" t="str">
        <f>IFERROR(__xludf.DUMMYFUNCTION("regexreplace(F34, ""_"", """")"),"cerebralpalsy")</f>
        <v>cerebralpalsy</v>
      </c>
      <c r="K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""ses"")"),"cerebral_palsy")</f>
        <v>cerebral_palsy</v>
      </c>
      <c r="L34" s="193"/>
      <c r="M34" s="193"/>
      <c r="N34" s="193"/>
      <c r="O34" s="193"/>
      <c r="P34" s="143" t="s">
        <v>5692</v>
      </c>
      <c r="Q34" s="143" t="s">
        <v>5692</v>
      </c>
    </row>
    <row r="35">
      <c r="A35" s="33"/>
      <c r="B35" s="33" t="s">
        <v>5594</v>
      </c>
      <c r="C35" s="12" t="s">
        <v>4674</v>
      </c>
      <c r="D35" s="12" t="s">
        <v>40</v>
      </c>
      <c r="E35" s="142" t="s">
        <v>5693</v>
      </c>
      <c r="F35" s="121" t="s">
        <v>4676</v>
      </c>
      <c r="G35" s="138"/>
      <c r="H35" s="192" t="str">
        <f t="shared" si="3"/>
        <v>gastrostomytube</v>
      </c>
      <c r="I35" s="192" t="b">
        <f t="shared" si="4"/>
        <v>1</v>
      </c>
      <c r="J35" s="192" t="str">
        <f>IFERROR(__xludf.DUMMYFUNCTION("regexreplace(F35, ""_"", """")"),"gastrostomytube")</f>
        <v>gastrostomytube</v>
      </c>
      <c r="K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""ses"")"),"gastrostomy_tube")</f>
        <v>gastrostomy_tube</v>
      </c>
      <c r="L35" s="193"/>
      <c r="M35" s="193"/>
      <c r="N35" s="193"/>
      <c r="O35" s="193"/>
      <c r="P35" s="194"/>
      <c r="Q35" s="143" t="s">
        <v>5694</v>
      </c>
    </row>
    <row r="36">
      <c r="A36" s="33"/>
      <c r="B36" s="33" t="s">
        <v>5594</v>
      </c>
      <c r="C36" s="12" t="s">
        <v>5130</v>
      </c>
      <c r="D36" s="12" t="s">
        <v>5695</v>
      </c>
      <c r="E36" s="142" t="s">
        <v>5696</v>
      </c>
      <c r="F36" s="121" t="s">
        <v>5132</v>
      </c>
      <c r="G36" s="138"/>
      <c r="H36" s="192" t="str">
        <f t="shared" si="3"/>
        <v>grossmotorfunctionlevel</v>
      </c>
      <c r="I36" s="192" t="b">
        <f t="shared" si="4"/>
        <v>1</v>
      </c>
      <c r="J36" s="192" t="str">
        <f>IFERROR(__xludf.DUMMYFUNCTION("regexreplace(F36, ""_"", """")"),"grossmotorfunctionlevel")</f>
        <v>grossmotorfunctionlevel</v>
      </c>
      <c r="K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""ses"")"),"gross_motor_function_level")</f>
        <v>gross_motor_function_level</v>
      </c>
      <c r="L36" s="193"/>
      <c r="M36" s="193"/>
      <c r="N36" s="193"/>
      <c r="O36" s="193"/>
      <c r="P36" s="143" t="s">
        <v>5697</v>
      </c>
      <c r="Q36" s="143" t="s">
        <v>5697</v>
      </c>
    </row>
    <row r="37">
      <c r="A37" s="33"/>
      <c r="B37" s="33" t="s">
        <v>5594</v>
      </c>
      <c r="C37" s="12" t="s">
        <v>5698</v>
      </c>
      <c r="D37" s="12" t="s">
        <v>40</v>
      </c>
      <c r="E37" s="142" t="s">
        <v>5699</v>
      </c>
      <c r="F37" s="121" t="s">
        <v>5700</v>
      </c>
      <c r="G37" s="138"/>
      <c r="H37" s="192" t="str">
        <f t="shared" si="3"/>
        <v>hearingimpairedwithaid</v>
      </c>
      <c r="I37" s="192" t="b">
        <f t="shared" si="4"/>
        <v>1</v>
      </c>
      <c r="J37" s="192" t="str">
        <f>IFERROR(__xludf.DUMMYFUNCTION("regexreplace(F37, ""_"", """")"),"hearingimpairedwithaid")</f>
        <v>hearingimpairedwithaid</v>
      </c>
      <c r="K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""ses"")"),"hearing_impaired_with_aid")</f>
        <v>hearing_impaired_with_aid</v>
      </c>
      <c r="L37" s="193"/>
      <c r="M37" s="193"/>
      <c r="N37" s="193"/>
      <c r="O37" s="193"/>
      <c r="P37" s="143" t="s">
        <v>5701</v>
      </c>
      <c r="Q37" s="143" t="s">
        <v>5701</v>
      </c>
    </row>
    <row r="38">
      <c r="A38" s="33"/>
      <c r="B38" s="33" t="s">
        <v>5594</v>
      </c>
      <c r="C38" s="12" t="s">
        <v>5702</v>
      </c>
      <c r="D38" s="12" t="s">
        <v>5695</v>
      </c>
      <c r="E38" s="142" t="s">
        <v>5703</v>
      </c>
      <c r="F38" s="121" t="s">
        <v>5704</v>
      </c>
      <c r="G38" s="138"/>
      <c r="H38" s="192" t="str">
        <f t="shared" si="3"/>
        <v>hearingimpairedlevel</v>
      </c>
      <c r="I38" s="192" t="b">
        <f t="shared" si="4"/>
        <v>1</v>
      </c>
      <c r="J38" s="192" t="str">
        <f>IFERROR(__xludf.DUMMYFUNCTION("regexreplace(F38, ""_"", """")"),"hearingimpairedlevel")</f>
        <v>hearingimpairedlevel</v>
      </c>
      <c r="K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""ses"")"),"hearing_impaired_level")</f>
        <v>hearing_impaired_level</v>
      </c>
      <c r="L38" s="193"/>
      <c r="M38" s="193"/>
      <c r="N38" s="193"/>
      <c r="O38" s="193"/>
      <c r="P38" s="143" t="s">
        <v>4814</v>
      </c>
      <c r="Q38" s="143" t="s">
        <v>4814</v>
      </c>
    </row>
    <row r="39">
      <c r="A39" s="33"/>
      <c r="B39" s="33" t="s">
        <v>5594</v>
      </c>
      <c r="C39" s="12" t="s">
        <v>5705</v>
      </c>
      <c r="D39" s="12" t="s">
        <v>40</v>
      </c>
      <c r="E39" s="142" t="s">
        <v>5706</v>
      </c>
      <c r="F39" s="121" t="s">
        <v>5707</v>
      </c>
      <c r="G39" s="138"/>
      <c r="H39" s="192" t="str">
        <f t="shared" si="3"/>
        <v>multipleimpairment</v>
      </c>
      <c r="I39" s="192" t="b">
        <f t="shared" si="4"/>
        <v>1</v>
      </c>
      <c r="J39" s="192" t="str">
        <f>IFERROR(__xludf.DUMMYFUNCTION("regexreplace(F39, ""_"", """")"),"multipleimpairment")</f>
        <v>multipleimpairment</v>
      </c>
      <c r="K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39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""ses"")"),"multiple_impairment")</f>
        <v>multiple_impairment</v>
      </c>
      <c r="L39" s="193"/>
      <c r="M39" s="193"/>
      <c r="N39" s="193"/>
      <c r="O39" s="193"/>
      <c r="P39" s="194"/>
      <c r="Q39" s="143" t="s">
        <v>5708</v>
      </c>
    </row>
    <row r="40">
      <c r="A40" s="33"/>
      <c r="B40" s="33" t="s">
        <v>5594</v>
      </c>
      <c r="C40" s="12" t="s">
        <v>5709</v>
      </c>
      <c r="D40" s="12" t="s">
        <v>40</v>
      </c>
      <c r="E40" s="142" t="s">
        <v>5710</v>
      </c>
      <c r="F40" s="121" t="s">
        <v>5711</v>
      </c>
      <c r="G40" s="138"/>
      <c r="H40" s="192" t="str">
        <f t="shared" si="3"/>
        <v>afterdischargeseizure</v>
      </c>
      <c r="I40" s="192" t="b">
        <f t="shared" si="4"/>
        <v>1</v>
      </c>
      <c r="J40" s="192" t="str">
        <f>IFERROR(__xludf.DUMMYFUNCTION("regexreplace(F40, ""_"", """")"),"afterdischargeseizure")</f>
        <v>afterdischargeseizure</v>
      </c>
      <c r="K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""ses"")"),"after_discharge_seizure")</f>
        <v>after_discharge_seizure</v>
      </c>
      <c r="L40" s="193"/>
      <c r="M40" s="193"/>
      <c r="N40" s="193"/>
      <c r="O40" s="193"/>
      <c r="P40" s="143" t="s">
        <v>5712</v>
      </c>
      <c r="Q40" s="143" t="s">
        <v>5712</v>
      </c>
    </row>
    <row r="41">
      <c r="A41" s="33"/>
      <c r="B41" s="33"/>
      <c r="C41" s="12"/>
      <c r="D41" s="12"/>
      <c r="E41" s="142"/>
      <c r="F41" s="121"/>
      <c r="G41" s="138"/>
      <c r="H41" s="192"/>
      <c r="I41" s="192"/>
      <c r="J41" s="192"/>
      <c r="K41" s="121"/>
      <c r="L41" s="193"/>
      <c r="M41" s="193"/>
      <c r="N41" s="193"/>
      <c r="O41" s="193"/>
      <c r="P41" s="143"/>
      <c r="Q41" s="143"/>
    </row>
    <row r="42">
      <c r="A42" s="33"/>
      <c r="B42" s="33" t="s">
        <v>5594</v>
      </c>
      <c r="C42" s="12" t="s">
        <v>5713</v>
      </c>
      <c r="D42" s="12" t="s">
        <v>31</v>
      </c>
      <c r="E42" s="142"/>
      <c r="F42" s="121"/>
      <c r="G42" s="138"/>
      <c r="H42" s="192"/>
      <c r="I42" s="192"/>
      <c r="J42" s="192"/>
      <c r="K42" s="121"/>
      <c r="L42" s="193"/>
      <c r="M42" s="193"/>
      <c r="N42" s="193"/>
      <c r="O42" s="193"/>
      <c r="P42" s="143"/>
      <c r="Q42" s="143"/>
    </row>
    <row r="43">
      <c r="A43" s="33"/>
      <c r="B43" s="33"/>
      <c r="C43" s="12"/>
      <c r="D43" s="12"/>
      <c r="E43" s="142"/>
      <c r="F43" s="121"/>
      <c r="G43" s="138"/>
      <c r="H43" s="192"/>
      <c r="I43" s="192"/>
      <c r="J43" s="192"/>
      <c r="K43" s="121"/>
      <c r="L43" s="193"/>
      <c r="M43" s="193"/>
      <c r="N43" s="193"/>
      <c r="O43" s="193"/>
      <c r="P43" s="143"/>
      <c r="Q43" s="143"/>
    </row>
    <row r="44">
      <c r="A44" s="33"/>
      <c r="B44" s="33" t="s">
        <v>5715</v>
      </c>
      <c r="C44" s="12" t="s">
        <v>5716</v>
      </c>
      <c r="D44" s="12" t="s">
        <v>5716</v>
      </c>
      <c r="E44" s="142" t="s">
        <v>5717</v>
      </c>
      <c r="F44" s="121" t="s">
        <v>5718</v>
      </c>
      <c r="G44" s="138"/>
      <c r="H44" s="192" t="str">
        <f t="shared" ref="H44:H54" si="5">lower(C44)</f>
        <v>flagadjudicatedoutcome</v>
      </c>
      <c r="I44" s="192" t="b">
        <f t="shared" ref="I44:I54" si="6">exact(H44, J44)</f>
        <v>1</v>
      </c>
      <c r="J44" s="192" t="str">
        <f>IFERROR(__xludf.DUMMYFUNCTION("regexreplace(F44, ""_"", """")"),"flagadjudicatedoutcome")</f>
        <v>flagadjudicatedoutcome</v>
      </c>
      <c r="K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""ses"")"),"flag_adjudicated_outcome")</f>
        <v>flag_adjudicated_outcome</v>
      </c>
      <c r="L44" s="193"/>
      <c r="M44" s="193"/>
      <c r="N44" s="193"/>
      <c r="O44" s="193"/>
      <c r="P44" s="194"/>
      <c r="Q44" s="143" t="s">
        <v>5719</v>
      </c>
    </row>
    <row r="45">
      <c r="A45" s="33"/>
      <c r="B45" s="33" t="s">
        <v>5715</v>
      </c>
      <c r="C45" s="12" t="s">
        <v>5720</v>
      </c>
      <c r="D45" s="12" t="s">
        <v>40</v>
      </c>
      <c r="E45" s="142" t="s">
        <v>5721</v>
      </c>
      <c r="F45" s="121" t="s">
        <v>5722</v>
      </c>
      <c r="G45" s="138"/>
      <c r="H45" s="192" t="str">
        <f t="shared" si="5"/>
        <v>normalprimaryoutcome</v>
      </c>
      <c r="I45" s="192" t="b">
        <f t="shared" si="6"/>
        <v>1</v>
      </c>
      <c r="J45" s="192" t="str">
        <f>IFERROR(__xludf.DUMMYFUNCTION("regexreplace(F45, ""_"", """")"),"normalprimaryoutcome")</f>
        <v>normalprimaryoutcome</v>
      </c>
      <c r="K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45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""ses"")"),"normal_primary_outcome")</f>
        <v>normal_primary_outcome</v>
      </c>
      <c r="L45" s="193"/>
      <c r="M45" s="194" t="s">
        <v>8754</v>
      </c>
      <c r="N45" s="193"/>
      <c r="O45" s="193"/>
      <c r="P45" s="143" t="s">
        <v>5723</v>
      </c>
      <c r="Q45" s="143" t="s">
        <v>5723</v>
      </c>
    </row>
    <row r="46">
      <c r="A46" s="33"/>
      <c r="B46" s="33" t="s">
        <v>5715</v>
      </c>
      <c r="C46" s="12" t="s">
        <v>5724</v>
      </c>
      <c r="D46" s="12" t="s">
        <v>5695</v>
      </c>
      <c r="E46" s="142" t="s">
        <v>5725</v>
      </c>
      <c r="F46" s="121" t="s">
        <v>5726</v>
      </c>
      <c r="G46" s="138"/>
      <c r="H46" s="192" t="str">
        <f t="shared" si="5"/>
        <v>bayleyiiilanguage</v>
      </c>
      <c r="I46" s="192" t="b">
        <f t="shared" si="6"/>
        <v>1</v>
      </c>
      <c r="J46" s="192" t="str">
        <f>IFERROR(__xludf.DUMMYFUNCTION("regexreplace(F46, ""_"", """")"),"bayleyiiilanguage")</f>
        <v>bayleyiiilanguage</v>
      </c>
      <c r="K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""ses"")"),"bayleyiii_language")</f>
        <v>bayleyiii_language</v>
      </c>
      <c r="L46" s="193"/>
      <c r="M46" s="193"/>
      <c r="N46" s="193"/>
      <c r="O46" s="193"/>
      <c r="P46" s="194"/>
      <c r="Q46" s="143" t="s">
        <v>5727</v>
      </c>
    </row>
    <row r="47">
      <c r="A47" s="33"/>
      <c r="B47" s="33" t="s">
        <v>5715</v>
      </c>
      <c r="C47" s="12" t="s">
        <v>5728</v>
      </c>
      <c r="D47" s="12" t="s">
        <v>5695</v>
      </c>
      <c r="E47" s="142" t="s">
        <v>5729</v>
      </c>
      <c r="F47" s="121" t="s">
        <v>5730</v>
      </c>
      <c r="G47" s="138"/>
      <c r="H47" s="192" t="str">
        <f t="shared" si="5"/>
        <v>bayleyiiimotor</v>
      </c>
      <c r="I47" s="192" t="b">
        <f t="shared" si="6"/>
        <v>1</v>
      </c>
      <c r="J47" s="192" t="str">
        <f>IFERROR(__xludf.DUMMYFUNCTION("regexreplace(F47, ""_"", """")"),"bayleyiiimotor")</f>
        <v>bayleyiiimotor</v>
      </c>
      <c r="K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47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""ses"")"),"bayleyiii_motor")</f>
        <v>bayleyiii_motor</v>
      </c>
      <c r="L47" s="193"/>
      <c r="M47" s="193"/>
      <c r="N47" s="193"/>
      <c r="O47" s="193"/>
      <c r="P47" s="194"/>
      <c r="Q47" s="143" t="s">
        <v>5731</v>
      </c>
    </row>
    <row r="48">
      <c r="A48" s="33"/>
      <c r="B48" s="33" t="s">
        <v>5715</v>
      </c>
      <c r="C48" s="12" t="s">
        <v>5732</v>
      </c>
      <c r="D48" s="12" t="s">
        <v>5695</v>
      </c>
      <c r="E48" s="142" t="s">
        <v>5733</v>
      </c>
      <c r="F48" s="121" t="s">
        <v>5734</v>
      </c>
      <c r="G48" s="138"/>
      <c r="H48" s="192" t="str">
        <f t="shared" si="5"/>
        <v>bayleyiiicognitive</v>
      </c>
      <c r="I48" s="192" t="b">
        <f t="shared" si="6"/>
        <v>1</v>
      </c>
      <c r="J48" s="192" t="str">
        <f>IFERROR(__xludf.DUMMYFUNCTION("regexreplace(F48, ""_"", """")"),"bayleyiiicognitive")</f>
        <v>bayleyiiicognitive</v>
      </c>
      <c r="K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48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""ses"")"),"bayleyiii_cognitive")</f>
        <v>bayleyiii_cognitive</v>
      </c>
      <c r="L48" s="193"/>
      <c r="M48" s="193"/>
      <c r="N48" s="193"/>
      <c r="O48" s="193"/>
      <c r="P48" s="143" t="s">
        <v>5735</v>
      </c>
      <c r="Q48" s="143" t="s">
        <v>5735</v>
      </c>
    </row>
    <row r="49">
      <c r="A49" s="33"/>
      <c r="B49" s="33" t="s">
        <v>5715</v>
      </c>
      <c r="C49" s="12" t="s">
        <v>5736</v>
      </c>
      <c r="D49" s="12" t="s">
        <v>40</v>
      </c>
      <c r="E49" s="142" t="s">
        <v>5737</v>
      </c>
      <c r="F49" s="121" t="s">
        <v>5738</v>
      </c>
      <c r="G49" s="138"/>
      <c r="H49" s="192" t="str">
        <f t="shared" si="5"/>
        <v>deathbeforefollowup</v>
      </c>
      <c r="I49" s="192" t="b">
        <f t="shared" si="6"/>
        <v>1</v>
      </c>
      <c r="J49" s="192" t="str">
        <f>IFERROR(__xludf.DUMMYFUNCTION("regexreplace(F49, ""_"", """")"),"deathbeforefollowup")</f>
        <v>deathbeforefollowup</v>
      </c>
      <c r="K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49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""ses"")"),"death_before_followup")</f>
        <v>death_before_followup</v>
      </c>
      <c r="L49" s="193"/>
      <c r="M49" s="194" t="s">
        <v>8755</v>
      </c>
      <c r="N49" s="193"/>
      <c r="O49" s="193"/>
      <c r="P49" s="143" t="s">
        <v>5739</v>
      </c>
      <c r="Q49" s="143" t="s">
        <v>5739</v>
      </c>
    </row>
    <row r="50">
      <c r="A50" s="33"/>
      <c r="B50" s="33" t="s">
        <v>5715</v>
      </c>
      <c r="C50" s="12" t="s">
        <v>5740</v>
      </c>
      <c r="D50" s="12" t="s">
        <v>40</v>
      </c>
      <c r="E50" s="142" t="s">
        <v>5741</v>
      </c>
      <c r="F50" s="121" t="s">
        <v>5742</v>
      </c>
      <c r="G50" s="138"/>
      <c r="H50" s="192" t="str">
        <f t="shared" si="5"/>
        <v>deathbeforedischarge</v>
      </c>
      <c r="I50" s="192" t="b">
        <f t="shared" si="6"/>
        <v>1</v>
      </c>
      <c r="J50" s="192" t="str">
        <f>IFERROR(__xludf.DUMMYFUNCTION("regexreplace(F50, ""_"", """")"),"deathbeforedischarge")</f>
        <v>deathbeforedischarge</v>
      </c>
      <c r="K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50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""ses"")"),"death_before_discharge")</f>
        <v>death_before_discharge</v>
      </c>
      <c r="L50" s="193"/>
      <c r="M50" s="193"/>
      <c r="N50" s="193"/>
      <c r="O50" s="193"/>
      <c r="P50" s="143" t="s">
        <v>5743</v>
      </c>
      <c r="Q50" s="143" t="s">
        <v>5743</v>
      </c>
    </row>
    <row r="51">
      <c r="A51" s="33"/>
      <c r="B51" s="33" t="s">
        <v>5715</v>
      </c>
      <c r="C51" s="12" t="s">
        <v>5744</v>
      </c>
      <c r="D51" s="12" t="s">
        <v>5695</v>
      </c>
      <c r="E51" s="142" t="s">
        <v>5745</v>
      </c>
      <c r="F51" s="121" t="s">
        <v>5746</v>
      </c>
      <c r="G51" s="138"/>
      <c r="H51" s="192" t="str">
        <f t="shared" si="5"/>
        <v>disabilitylevelsurvivor</v>
      </c>
      <c r="I51" s="192" t="b">
        <f t="shared" si="6"/>
        <v>1</v>
      </c>
      <c r="J51" s="192" t="str">
        <f>IFERROR(__xludf.DUMMYFUNCTION("regexreplace(F51, ""_"", """")"),"disabilitylevelsurvivor")</f>
        <v>disabilitylevelsurvivor</v>
      </c>
      <c r="K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51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""ses"")"),"disability_level_survivor")</f>
        <v>disability_level_survivor</v>
      </c>
      <c r="L51" s="193"/>
      <c r="M51" s="193"/>
      <c r="N51" s="193"/>
      <c r="O51" s="193"/>
      <c r="P51" s="143" t="s">
        <v>5747</v>
      </c>
      <c r="Q51" s="143" t="s">
        <v>5747</v>
      </c>
    </row>
    <row r="52">
      <c r="A52" s="33"/>
      <c r="B52" s="33" t="s">
        <v>5715</v>
      </c>
      <c r="C52" s="12" t="s">
        <v>5748</v>
      </c>
      <c r="D52" s="12" t="s">
        <v>5695</v>
      </c>
      <c r="E52" s="142" t="s">
        <v>5749</v>
      </c>
      <c r="F52" s="121" t="s">
        <v>5750</v>
      </c>
      <c r="G52" s="138"/>
      <c r="H52" s="192" t="str">
        <f t="shared" si="5"/>
        <v>disabilitylevel</v>
      </c>
      <c r="I52" s="192" t="b">
        <f t="shared" si="6"/>
        <v>1</v>
      </c>
      <c r="J52" s="192" t="str">
        <f>IFERROR(__xludf.DUMMYFUNCTION("regexreplace(F52, ""_"", """")"),"disabilitylevel")</f>
        <v>disabilitylevel</v>
      </c>
      <c r="K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52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""ses"")"),"disability_level")</f>
        <v>disability_level</v>
      </c>
      <c r="L52" s="193"/>
      <c r="M52" s="194"/>
      <c r="N52" s="193"/>
      <c r="O52" s="193"/>
      <c r="P52" s="143" t="s">
        <v>5751</v>
      </c>
      <c r="Q52" s="143" t="s">
        <v>5751</v>
      </c>
    </row>
    <row r="53">
      <c r="A53" s="33"/>
      <c r="B53" s="33" t="s">
        <v>5715</v>
      </c>
      <c r="C53" s="12" t="s">
        <v>5752</v>
      </c>
      <c r="D53" s="12" t="s">
        <v>40</v>
      </c>
      <c r="E53" s="142" t="s">
        <v>5753</v>
      </c>
      <c r="F53" s="121" t="s">
        <v>5754</v>
      </c>
      <c r="G53" s="138"/>
      <c r="H53" s="192" t="str">
        <f t="shared" si="5"/>
        <v>moderateseveredisabilityordeath</v>
      </c>
      <c r="I53" s="192" t="b">
        <f t="shared" si="6"/>
        <v>1</v>
      </c>
      <c r="J53" s="192" t="str">
        <f>IFERROR(__xludf.DUMMYFUNCTION("regexreplace(F53, ""_"", """")"),"moderateseveredisabilityordeath")</f>
        <v>moderateseveredisabilityordeath</v>
      </c>
      <c r="K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53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""ses"")"),"moderate_severe_disability_or_death")</f>
        <v>moderate_severe_disability_or_death</v>
      </c>
      <c r="L53" s="193"/>
      <c r="M53" s="193"/>
      <c r="N53" s="193"/>
      <c r="O53" s="193"/>
      <c r="P53" s="143" t="s">
        <v>5755</v>
      </c>
      <c r="Q53" s="143" t="s">
        <v>5755</v>
      </c>
    </row>
    <row r="54">
      <c r="A54" s="33"/>
      <c r="B54" s="33" t="s">
        <v>5715</v>
      </c>
      <c r="C54" s="12" t="s">
        <v>5756</v>
      </c>
      <c r="D54" s="12" t="s">
        <v>40</v>
      </c>
      <c r="E54" s="142" t="s">
        <v>5757</v>
      </c>
      <c r="F54" s="121" t="s">
        <v>5758</v>
      </c>
      <c r="G54" s="138"/>
      <c r="H54" s="192" t="str">
        <f t="shared" si="5"/>
        <v>moderateseveredisabilitysurvivor</v>
      </c>
      <c r="I54" s="192" t="b">
        <f t="shared" si="6"/>
        <v>1</v>
      </c>
      <c r="J54" s="192" t="str">
        <f>IFERROR(__xludf.DUMMYFUNCTION("regexreplace(F54, ""_"", """")"),"moderateseveredisabilitysurvivor")</f>
        <v>moderateseveredisabilitysurvivor</v>
      </c>
      <c r="K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54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""ses"")"),"moderate_severe_disability_survivor")</f>
        <v>moderate_severe_disability_survivor</v>
      </c>
      <c r="L54" s="193"/>
      <c r="M54" s="193"/>
      <c r="N54" s="193"/>
      <c r="O54" s="193"/>
      <c r="P54" s="143" t="s">
        <v>5759</v>
      </c>
      <c r="Q54" s="143" t="s">
        <v>5759</v>
      </c>
    </row>
    <row r="55">
      <c r="A55" s="33"/>
      <c r="B55" s="33" t="s">
        <v>5715</v>
      </c>
      <c r="C55" s="12" t="s">
        <v>5760</v>
      </c>
      <c r="D55" s="12" t="s">
        <v>5695</v>
      </c>
      <c r="E55" s="142" t="s">
        <v>5761</v>
      </c>
      <c r="F55" s="121" t="s">
        <v>5762</v>
      </c>
      <c r="G55" s="350" t="s">
        <v>5763</v>
      </c>
      <c r="H55" s="192"/>
      <c r="I55" s="192"/>
      <c r="J55" s="192"/>
      <c r="K55" s="121"/>
      <c r="L55" s="193"/>
      <c r="M55" s="194" t="s">
        <v>8756</v>
      </c>
      <c r="N55" s="193"/>
      <c r="O55" s="193"/>
      <c r="P55" s="143"/>
      <c r="Q55" s="143"/>
    </row>
    <row r="56">
      <c r="A56" s="33"/>
      <c r="B56" s="33" t="s">
        <v>5715</v>
      </c>
      <c r="C56" s="12" t="s">
        <v>5764</v>
      </c>
      <c r="D56" s="12" t="s">
        <v>5764</v>
      </c>
      <c r="E56" s="142" t="s">
        <v>5765</v>
      </c>
      <c r="F56" s="121" t="s">
        <v>5766</v>
      </c>
      <c r="G56" s="138"/>
      <c r="H56" s="192" t="str">
        <f>lower(C56)</f>
        <v>outcomegroup</v>
      </c>
      <c r="I56" s="192" t="b">
        <f>exact(H56, J56)</f>
        <v>1</v>
      </c>
      <c r="J56" s="192" t="str">
        <f>IFERROR(__xludf.DUMMYFUNCTION("regexreplace(F56, ""_"", """")"),"outcomegroup")</f>
        <v>outcomegroup</v>
      </c>
      <c r="K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56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""ses"")"),"outcome_group")</f>
        <v>outcome_group</v>
      </c>
      <c r="L56" s="193"/>
      <c r="M56" s="193"/>
      <c r="N56" s="193"/>
      <c r="O56" s="193"/>
      <c r="P56" s="194"/>
      <c r="Q56" s="143" t="s">
        <v>5767</v>
      </c>
    </row>
    <row r="57">
      <c r="A57" s="33"/>
      <c r="B57" s="33" t="s">
        <v>5715</v>
      </c>
      <c r="C57" s="12" t="s">
        <v>5768</v>
      </c>
      <c r="D57" s="12"/>
      <c r="E57" s="142" t="s">
        <v>5769</v>
      </c>
      <c r="F57" s="121"/>
      <c r="G57" s="138"/>
      <c r="H57" s="192"/>
      <c r="I57" s="192"/>
      <c r="J57" s="192"/>
      <c r="K57" s="121"/>
      <c r="L57" s="193"/>
      <c r="M57" s="194"/>
      <c r="N57" s="194" t="s">
        <v>8757</v>
      </c>
      <c r="O57" s="193"/>
      <c r="P57" s="194"/>
      <c r="Q57" s="143"/>
    </row>
    <row r="58">
      <c r="E58" s="145"/>
      <c r="F58" s="121"/>
      <c r="G58" s="145"/>
      <c r="H58" s="192"/>
      <c r="I58" s="192"/>
      <c r="J58" s="192"/>
      <c r="K58" s="121"/>
    </row>
    <row r="59">
      <c r="A59" s="33" t="s">
        <v>5591</v>
      </c>
      <c r="B59" s="61" t="s">
        <v>5771</v>
      </c>
      <c r="C59" s="351" t="s">
        <v>5772</v>
      </c>
      <c r="D59" s="61" t="s">
        <v>31</v>
      </c>
      <c r="E59" s="145"/>
      <c r="F59" s="121"/>
      <c r="G59" s="145"/>
      <c r="H59" s="192"/>
      <c r="I59" s="192"/>
      <c r="J59" s="192"/>
      <c r="K59" s="121"/>
    </row>
    <row r="60">
      <c r="B60" s="61" t="s">
        <v>5771</v>
      </c>
      <c r="C60" s="351" t="s">
        <v>5774</v>
      </c>
      <c r="D60" s="61" t="s">
        <v>31</v>
      </c>
      <c r="E60" s="145"/>
      <c r="F60" s="121"/>
      <c r="G60" s="145"/>
      <c r="H60" s="192"/>
      <c r="I60" s="192"/>
      <c r="J60" s="192"/>
      <c r="K60" s="121"/>
    </row>
    <row r="61">
      <c r="B61" s="61" t="s">
        <v>5771</v>
      </c>
      <c r="C61" s="351" t="s">
        <v>5776</v>
      </c>
      <c r="D61" s="61" t="s">
        <v>31</v>
      </c>
      <c r="E61" s="145"/>
      <c r="F61" s="121"/>
      <c r="G61" s="145"/>
      <c r="H61" s="192"/>
      <c r="I61" s="192"/>
      <c r="J61" s="192"/>
      <c r="K61" s="121"/>
    </row>
    <row r="62">
      <c r="B62" s="61" t="s">
        <v>5771</v>
      </c>
      <c r="C62" s="351" t="s">
        <v>5778</v>
      </c>
      <c r="D62" s="61" t="s">
        <v>31</v>
      </c>
      <c r="E62" s="145"/>
      <c r="F62" s="121"/>
      <c r="G62" s="145"/>
      <c r="H62" s="192"/>
      <c r="I62" s="192"/>
      <c r="J62" s="192"/>
      <c r="K62" s="121"/>
    </row>
    <row r="63">
      <c r="B63" s="61" t="s">
        <v>5771</v>
      </c>
      <c r="C63" s="351" t="s">
        <v>5780</v>
      </c>
      <c r="D63" s="61" t="s">
        <v>31</v>
      </c>
      <c r="E63" s="145"/>
      <c r="F63" s="121"/>
      <c r="G63" s="145"/>
      <c r="H63" s="192"/>
      <c r="I63" s="192"/>
      <c r="J63" s="192"/>
      <c r="K63" s="121"/>
    </row>
    <row r="64">
      <c r="B64" s="61" t="s">
        <v>5771</v>
      </c>
      <c r="C64" s="351" t="s">
        <v>5782</v>
      </c>
      <c r="D64" s="61" t="s">
        <v>31</v>
      </c>
      <c r="E64" s="145"/>
      <c r="F64" s="121"/>
      <c r="G64" s="145"/>
      <c r="H64" s="192"/>
      <c r="I64" s="192"/>
      <c r="J64" s="192"/>
      <c r="K64" s="121"/>
    </row>
    <row r="65">
      <c r="B65" s="61" t="s">
        <v>5771</v>
      </c>
      <c r="C65" s="351" t="s">
        <v>5784</v>
      </c>
      <c r="D65" s="61" t="s">
        <v>31</v>
      </c>
      <c r="E65" s="145"/>
      <c r="F65" s="121"/>
      <c r="G65" s="145"/>
      <c r="H65" s="192"/>
      <c r="I65" s="192"/>
      <c r="J65" s="192"/>
      <c r="K65" s="121"/>
    </row>
    <row r="66">
      <c r="B66" s="61" t="s">
        <v>5771</v>
      </c>
      <c r="C66" s="351" t="s">
        <v>5786</v>
      </c>
      <c r="D66" s="61" t="s">
        <v>31</v>
      </c>
      <c r="E66" s="145"/>
      <c r="F66" s="121"/>
      <c r="G66" s="145"/>
      <c r="H66" s="192"/>
      <c r="I66" s="192"/>
      <c r="J66" s="192"/>
      <c r="K66" s="121"/>
    </row>
    <row r="67">
      <c r="B67" s="61" t="s">
        <v>5771</v>
      </c>
      <c r="C67" s="351" t="s">
        <v>5788</v>
      </c>
      <c r="D67" s="61" t="s">
        <v>31</v>
      </c>
      <c r="E67" s="145"/>
      <c r="F67" s="121"/>
      <c r="G67" s="145"/>
      <c r="H67" s="192"/>
      <c r="I67" s="192"/>
      <c r="J67" s="192"/>
      <c r="K67" s="121"/>
    </row>
    <row r="68">
      <c r="B68" s="61" t="s">
        <v>5771</v>
      </c>
      <c r="C68" s="352" t="s">
        <v>5790</v>
      </c>
      <c r="D68" s="61" t="s">
        <v>31</v>
      </c>
      <c r="E68" s="145"/>
      <c r="F68" s="121"/>
      <c r="G68" s="145"/>
      <c r="H68" s="192"/>
      <c r="I68" s="192"/>
      <c r="J68" s="192"/>
      <c r="K68" s="121"/>
    </row>
    <row r="69">
      <c r="B69" s="61" t="s">
        <v>5771</v>
      </c>
      <c r="C69" s="352" t="s">
        <v>5792</v>
      </c>
      <c r="D69" s="61" t="s">
        <v>31</v>
      </c>
      <c r="E69" s="145"/>
      <c r="F69" s="121"/>
      <c r="G69" s="145"/>
      <c r="H69" s="192"/>
      <c r="I69" s="192"/>
      <c r="J69" s="192"/>
      <c r="K69" s="121"/>
    </row>
    <row r="70">
      <c r="B70" s="61" t="s">
        <v>5771</v>
      </c>
      <c r="C70" s="61" t="s">
        <v>5794</v>
      </c>
      <c r="D70" s="61" t="s">
        <v>31</v>
      </c>
      <c r="E70" s="137" t="s">
        <v>5795</v>
      </c>
      <c r="F70" s="121"/>
      <c r="G70" s="145"/>
      <c r="H70" s="192"/>
      <c r="I70" s="192"/>
      <c r="J70" s="192"/>
      <c r="K70" s="121"/>
    </row>
    <row r="71">
      <c r="B71" s="61" t="s">
        <v>5771</v>
      </c>
      <c r="C71" s="351" t="s">
        <v>5797</v>
      </c>
      <c r="D71" s="61" t="s">
        <v>31</v>
      </c>
      <c r="E71" s="137"/>
      <c r="F71" s="121"/>
      <c r="G71" s="145"/>
      <c r="H71" s="192"/>
      <c r="I71" s="192"/>
      <c r="J71" s="192"/>
      <c r="K71" s="121"/>
    </row>
    <row r="72">
      <c r="B72" s="61" t="s">
        <v>5771</v>
      </c>
      <c r="C72" s="351" t="s">
        <v>5799</v>
      </c>
      <c r="D72" s="61" t="s">
        <v>31</v>
      </c>
      <c r="E72" s="137"/>
      <c r="F72" s="121"/>
      <c r="G72" s="145"/>
      <c r="H72" s="192"/>
      <c r="I72" s="192"/>
      <c r="J72" s="192"/>
      <c r="K72" s="121"/>
    </row>
    <row r="73">
      <c r="B73" s="61" t="s">
        <v>5771</v>
      </c>
      <c r="C73" s="351" t="s">
        <v>5801</v>
      </c>
      <c r="D73" s="61" t="s">
        <v>31</v>
      </c>
      <c r="E73" s="137"/>
      <c r="F73" s="121"/>
      <c r="G73" s="145"/>
      <c r="H73" s="192"/>
      <c r="I73" s="192"/>
      <c r="J73" s="192"/>
      <c r="K73" s="121"/>
    </row>
    <row r="74">
      <c r="B74" s="61" t="s">
        <v>5771</v>
      </c>
      <c r="C74" s="351" t="s">
        <v>5803</v>
      </c>
      <c r="D74" s="61" t="s">
        <v>31</v>
      </c>
      <c r="E74" s="137"/>
      <c r="F74" s="121"/>
      <c r="G74" s="145"/>
      <c r="H74" s="192"/>
      <c r="I74" s="192"/>
      <c r="J74" s="192"/>
      <c r="K74" s="121"/>
    </row>
    <row r="75">
      <c r="B75" s="61" t="s">
        <v>5771</v>
      </c>
      <c r="C75" s="351" t="s">
        <v>5805</v>
      </c>
      <c r="D75" s="61" t="s">
        <v>31</v>
      </c>
      <c r="E75" s="137"/>
      <c r="F75" s="121"/>
      <c r="G75" s="145"/>
      <c r="H75" s="192"/>
      <c r="I75" s="192"/>
      <c r="J75" s="192"/>
      <c r="K75" s="121"/>
    </row>
    <row r="76">
      <c r="B76" s="61" t="s">
        <v>5771</v>
      </c>
      <c r="C76" s="351" t="s">
        <v>5807</v>
      </c>
      <c r="D76" s="61" t="s">
        <v>31</v>
      </c>
      <c r="E76" s="137"/>
      <c r="F76" s="121"/>
      <c r="G76" s="145"/>
      <c r="H76" s="192"/>
      <c r="I76" s="192"/>
      <c r="J76" s="192"/>
      <c r="K76" s="121"/>
    </row>
    <row r="77">
      <c r="B77" s="61" t="s">
        <v>5771</v>
      </c>
      <c r="C77" s="351" t="s">
        <v>5809</v>
      </c>
      <c r="D77" s="61" t="s">
        <v>31</v>
      </c>
      <c r="E77" s="137"/>
      <c r="F77" s="121"/>
      <c r="G77" s="145"/>
      <c r="H77" s="192"/>
      <c r="I77" s="192"/>
      <c r="J77" s="192"/>
      <c r="K77" s="121"/>
    </row>
    <row r="78">
      <c r="B78" s="61" t="s">
        <v>5771</v>
      </c>
      <c r="C78" s="351" t="s">
        <v>5811</v>
      </c>
      <c r="D78" s="61" t="s">
        <v>31</v>
      </c>
      <c r="E78" s="137"/>
      <c r="F78" s="121"/>
      <c r="G78" s="145"/>
      <c r="H78" s="192"/>
      <c r="I78" s="192"/>
      <c r="J78" s="192"/>
      <c r="K78" s="121"/>
    </row>
    <row r="79">
      <c r="B79" s="61" t="s">
        <v>5771</v>
      </c>
      <c r="C79" s="351" t="s">
        <v>5813</v>
      </c>
      <c r="D79" s="61" t="s">
        <v>31</v>
      </c>
      <c r="E79" s="137"/>
      <c r="F79" s="121"/>
      <c r="G79" s="145"/>
      <c r="H79" s="192"/>
      <c r="I79" s="192"/>
      <c r="J79" s="192"/>
      <c r="K79" s="121"/>
    </row>
    <row r="80">
      <c r="B80" s="61" t="s">
        <v>5771</v>
      </c>
      <c r="C80" s="352" t="s">
        <v>5815</v>
      </c>
      <c r="D80" s="61" t="s">
        <v>31</v>
      </c>
      <c r="E80" s="137"/>
      <c r="F80" s="121"/>
      <c r="G80" s="145"/>
      <c r="H80" s="192"/>
      <c r="I80" s="192"/>
      <c r="J80" s="192"/>
      <c r="K80" s="121"/>
    </row>
    <row r="81">
      <c r="B81" s="61" t="s">
        <v>5771</v>
      </c>
      <c r="C81" s="352" t="s">
        <v>5817</v>
      </c>
      <c r="D81" s="61" t="s">
        <v>31</v>
      </c>
      <c r="E81" s="137"/>
      <c r="F81" s="121"/>
      <c r="G81" s="145"/>
      <c r="H81" s="192"/>
      <c r="I81" s="192"/>
      <c r="J81" s="192"/>
      <c r="K81" s="121"/>
    </row>
    <row r="82">
      <c r="B82" s="61" t="s">
        <v>5771</v>
      </c>
      <c r="C82" s="61" t="s">
        <v>5819</v>
      </c>
      <c r="D82" s="61" t="s">
        <v>31</v>
      </c>
      <c r="E82" s="137" t="s">
        <v>5820</v>
      </c>
      <c r="F82" s="121"/>
      <c r="G82" s="145"/>
      <c r="H82" s="192"/>
      <c r="I82" s="192"/>
      <c r="J82" s="192"/>
      <c r="K82" s="121"/>
    </row>
    <row r="83">
      <c r="B83" s="61" t="s">
        <v>5771</v>
      </c>
      <c r="C83" s="351" t="s">
        <v>5822</v>
      </c>
      <c r="D83" s="61" t="s">
        <v>31</v>
      </c>
      <c r="E83" s="137"/>
      <c r="F83" s="121"/>
      <c r="G83" s="145"/>
      <c r="H83" s="192"/>
      <c r="I83" s="192"/>
      <c r="J83" s="192"/>
      <c r="K83" s="121"/>
    </row>
    <row r="84">
      <c r="B84" s="61" t="s">
        <v>5771</v>
      </c>
      <c r="C84" s="351" t="s">
        <v>5824</v>
      </c>
      <c r="D84" s="61" t="s">
        <v>31</v>
      </c>
      <c r="E84" s="137"/>
      <c r="F84" s="121"/>
      <c r="G84" s="145"/>
      <c r="H84" s="192"/>
      <c r="I84" s="192"/>
      <c r="J84" s="192"/>
      <c r="K84" s="121"/>
    </row>
    <row r="85">
      <c r="B85" s="61" t="s">
        <v>5771</v>
      </c>
      <c r="C85" s="351" t="s">
        <v>5826</v>
      </c>
      <c r="D85" s="61" t="s">
        <v>31</v>
      </c>
      <c r="E85" s="137"/>
      <c r="F85" s="121"/>
      <c r="G85" s="145"/>
      <c r="H85" s="192"/>
      <c r="I85" s="192"/>
      <c r="J85" s="192"/>
      <c r="K85" s="121"/>
    </row>
    <row r="86">
      <c r="B86" s="61" t="s">
        <v>5771</v>
      </c>
      <c r="C86" s="351" t="s">
        <v>5828</v>
      </c>
      <c r="D86" s="61" t="s">
        <v>31</v>
      </c>
      <c r="E86" s="137"/>
      <c r="F86" s="121"/>
      <c r="G86" s="145"/>
      <c r="H86" s="192"/>
      <c r="I86" s="192"/>
      <c r="J86" s="192"/>
      <c r="K86" s="121"/>
    </row>
    <row r="87" ht="16.5" customHeight="1">
      <c r="B87" s="61" t="s">
        <v>5771</v>
      </c>
      <c r="C87" s="351" t="s">
        <v>5830</v>
      </c>
      <c r="D87" s="61" t="s">
        <v>31</v>
      </c>
      <c r="E87" s="137"/>
      <c r="F87" s="121"/>
      <c r="G87" s="145"/>
      <c r="H87" s="192"/>
      <c r="I87" s="192"/>
      <c r="J87" s="192"/>
      <c r="K87" s="121"/>
    </row>
    <row r="88" ht="16.5" customHeight="1">
      <c r="B88" s="61" t="s">
        <v>5771</v>
      </c>
      <c r="C88" s="351" t="s">
        <v>5832</v>
      </c>
      <c r="D88" s="61" t="s">
        <v>31</v>
      </c>
      <c r="E88" s="137"/>
      <c r="F88" s="121"/>
      <c r="G88" s="145"/>
      <c r="H88" s="192"/>
      <c r="I88" s="192"/>
      <c r="J88" s="192"/>
      <c r="K88" s="121"/>
    </row>
    <row r="89" ht="16.5" customHeight="1">
      <c r="B89" s="61" t="s">
        <v>5771</v>
      </c>
      <c r="C89" s="351" t="s">
        <v>5834</v>
      </c>
      <c r="D89" s="61" t="s">
        <v>31</v>
      </c>
      <c r="E89" s="137"/>
      <c r="F89" s="121"/>
      <c r="G89" s="145"/>
      <c r="H89" s="192"/>
      <c r="I89" s="192"/>
      <c r="J89" s="192"/>
      <c r="K89" s="121"/>
    </row>
    <row r="90">
      <c r="B90" s="61" t="s">
        <v>5771</v>
      </c>
      <c r="C90" s="351" t="s">
        <v>5836</v>
      </c>
      <c r="D90" s="61" t="s">
        <v>31</v>
      </c>
      <c r="E90" s="137"/>
      <c r="F90" s="121"/>
      <c r="G90" s="145"/>
      <c r="H90" s="192"/>
      <c r="I90" s="192"/>
      <c r="J90" s="192"/>
      <c r="K90" s="121"/>
    </row>
    <row r="91">
      <c r="B91" s="61" t="s">
        <v>5771</v>
      </c>
      <c r="C91" s="351" t="s">
        <v>5838</v>
      </c>
      <c r="D91" s="61" t="s">
        <v>31</v>
      </c>
      <c r="E91" s="137"/>
      <c r="F91" s="121"/>
      <c r="G91" s="145"/>
      <c r="H91" s="192"/>
      <c r="I91" s="192"/>
      <c r="J91" s="192"/>
      <c r="K91" s="121"/>
    </row>
    <row r="92">
      <c r="B92" s="61" t="s">
        <v>5771</v>
      </c>
      <c r="C92" s="352" t="s">
        <v>5840</v>
      </c>
      <c r="D92" s="61" t="s">
        <v>31</v>
      </c>
      <c r="E92" s="137"/>
      <c r="F92" s="121"/>
      <c r="G92" s="145"/>
      <c r="H92" s="192"/>
      <c r="I92" s="192"/>
      <c r="J92" s="192"/>
      <c r="K92" s="121"/>
    </row>
    <row r="93">
      <c r="B93" s="61" t="s">
        <v>5771</v>
      </c>
      <c r="C93" s="352" t="s">
        <v>5842</v>
      </c>
      <c r="D93" s="61" t="s">
        <v>31</v>
      </c>
      <c r="E93" s="137"/>
      <c r="F93" s="121"/>
      <c r="G93" s="145"/>
      <c r="H93" s="192"/>
      <c r="I93" s="192"/>
      <c r="J93" s="192"/>
      <c r="K93" s="121"/>
    </row>
    <row r="94">
      <c r="B94" s="61" t="s">
        <v>5771</v>
      </c>
      <c r="C94" s="61" t="s">
        <v>5844</v>
      </c>
      <c r="D94" s="61" t="s">
        <v>31</v>
      </c>
      <c r="E94" s="137" t="s">
        <v>5845</v>
      </c>
      <c r="F94" s="121"/>
      <c r="G94" s="145"/>
      <c r="H94" s="192"/>
      <c r="I94" s="192"/>
      <c r="J94" s="192"/>
      <c r="K94" s="121"/>
    </row>
    <row r="95">
      <c r="B95" s="61"/>
      <c r="C95" s="61"/>
      <c r="D95" s="61"/>
      <c r="E95" s="137"/>
      <c r="F95" s="121"/>
      <c r="G95" s="145"/>
      <c r="H95" s="192"/>
      <c r="I95" s="192"/>
      <c r="J95" s="192"/>
      <c r="K95" s="121"/>
    </row>
    <row r="96">
      <c r="A96" s="33" t="s">
        <v>5591</v>
      </c>
      <c r="B96" s="61" t="s">
        <v>5847</v>
      </c>
      <c r="C96" s="12" t="s">
        <v>5848</v>
      </c>
      <c r="D96" s="12" t="s">
        <v>2897</v>
      </c>
      <c r="E96" s="137"/>
      <c r="F96" s="121"/>
      <c r="G96" s="145"/>
      <c r="H96" s="192"/>
      <c r="I96" s="192"/>
      <c r="J96" s="192"/>
      <c r="K96" s="121"/>
    </row>
    <row r="97">
      <c r="B97" s="61" t="s">
        <v>5847</v>
      </c>
      <c r="C97" s="12" t="s">
        <v>5850</v>
      </c>
      <c r="D97" s="61" t="s">
        <v>483</v>
      </c>
      <c r="E97" s="137"/>
      <c r="F97" s="121"/>
      <c r="G97" s="145"/>
      <c r="H97" s="192"/>
      <c r="I97" s="192"/>
      <c r="J97" s="192"/>
      <c r="K97" s="121"/>
    </row>
    <row r="98">
      <c r="B98" s="61" t="s">
        <v>5847</v>
      </c>
      <c r="C98" s="61" t="s">
        <v>5852</v>
      </c>
      <c r="D98" s="61" t="s">
        <v>483</v>
      </c>
      <c r="E98" s="137"/>
      <c r="F98" s="121"/>
      <c r="G98" s="145"/>
      <c r="H98" s="192"/>
      <c r="I98" s="192"/>
      <c r="J98" s="192"/>
      <c r="K98" s="121"/>
    </row>
    <row r="99">
      <c r="A99" s="33"/>
      <c r="B99" s="61" t="s">
        <v>5847</v>
      </c>
      <c r="C99" s="12" t="s">
        <v>5854</v>
      </c>
      <c r="D99" s="12" t="s">
        <v>5854</v>
      </c>
      <c r="E99" s="142" t="s">
        <v>5855</v>
      </c>
      <c r="F99" s="121" t="s">
        <v>5856</v>
      </c>
      <c r="G99" s="138"/>
      <c r="H99" s="192" t="str">
        <f t="shared" ref="H99:H109" si="7">lower(C99)</f>
        <v>mri2levelpatternofinjury</v>
      </c>
      <c r="I99" s="192" t="b">
        <f t="shared" ref="I99:I109" si="8">exact(H99, J99)</f>
        <v>1</v>
      </c>
      <c r="J99" s="192" t="str">
        <f>IFERROR(__xludf.DUMMYFUNCTION("regexreplace(F99, ""_"", """")"),"mri2levelpatternofinjury")</f>
        <v>mri2levelpatternofinjury</v>
      </c>
      <c r="K9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99, ""([A-Z])"", ""_$1"")), ""m_r_i"", ""mri""), ""_i_d$"", ""_id""), ""d_n_r"", ""dnr""), ""a_p_g_a_r"", ""apgar""), ""_p_h"", ""_ph""), ""_p_c_o2"", ""_pco2""), ""_p_o2"", ""_po2""), ""_h_c_o3"", ""_hco3""), ""_a_s_t_s_g_o_t"", ""_ast_sgot""), ""_a_"&amp;"l_t_s_g_p_t"", ""_alt_sgpt""),  ""m_eq_per_l"", ""_meqperl""), ""mg_perd_l"", ""_mgperdl""), ""mm_hg"", ""_mmhg""), ""_u_per_l"", ""_uperl""), ""^_"", """"), ""e_k_g"", ""ekg""), ""s_a_e"", ""sae""), ""r_t_i"", ""rti""), ""f_l_a_i_r"", ""flair""), ""g_r_e"&amp;"_s_w_i"", ""greswi""), ""s_p_g_r"", ""spgr""), ""d_w_i"", ""dwi""), ""a_d_c"", ""adc""), ""m_r_s"", ""mrs""), ""_c_t"", ""_ct""), ""p_l_i_c"", ""plic""), ""a_l_i_c"", ""alic""), ""n_r_n"", ""nrn""), ""b_g_t"", ""bgt""), ""e_c_m_o"", ""ecmo""), ""c_n_s"", "&amp;"""cns""), ""c_p_a_p"", ""cpap""), ""fi_o2"", ""fio2""), ""e_e_g"", ""eeg""), ""h_i_e"", ""hie""), ""(\d)_([a-z])"", ""$1$2""), ""bayley_i_i_i"", ""bayleyiii""), ""s_e_s"", ""ses"")"),"mri2level_pattern_of_injury")</f>
        <v>mri2level_pattern_of_injury</v>
      </c>
      <c r="L99" s="193"/>
      <c r="M99" s="193"/>
      <c r="N99" s="193"/>
      <c r="O99" s="193"/>
      <c r="P99" s="143" t="s">
        <v>5857</v>
      </c>
      <c r="Q99" s="143" t="s">
        <v>5858</v>
      </c>
    </row>
    <row r="100">
      <c r="A100" s="33"/>
      <c r="B100" s="61" t="s">
        <v>5847</v>
      </c>
      <c r="C100" s="12" t="s">
        <v>5859</v>
      </c>
      <c r="D100" s="12" t="s">
        <v>31</v>
      </c>
      <c r="E100" s="142" t="s">
        <v>5860</v>
      </c>
      <c r="F100" s="121" t="s">
        <v>5861</v>
      </c>
      <c r="G100" s="138"/>
      <c r="H100" s="192" t="str">
        <f t="shared" si="7"/>
        <v>mriage_day</v>
      </c>
      <c r="I100" s="192" t="b">
        <f t="shared" si="8"/>
        <v>0</v>
      </c>
      <c r="J100" s="192" t="str">
        <f>IFERROR(__xludf.DUMMYFUNCTION("regexreplace(F100, ""_"", """")"),"mriageday")</f>
        <v>mriageday</v>
      </c>
      <c r="K10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""ses"")"),"mri_age_day")</f>
        <v>mri_age_day</v>
      </c>
      <c r="L100" s="193"/>
      <c r="M100" s="193"/>
      <c r="N100" s="193"/>
      <c r="O100" s="193"/>
      <c r="P100" s="143" t="s">
        <v>5862</v>
      </c>
      <c r="Q100" s="143" t="s">
        <v>5863</v>
      </c>
    </row>
    <row r="101">
      <c r="A101" s="33"/>
      <c r="B101" s="61" t="s">
        <v>5847</v>
      </c>
      <c r="C101" s="12" t="s">
        <v>3132</v>
      </c>
      <c r="D101" s="12" t="s">
        <v>3132</v>
      </c>
      <c r="E101" s="142" t="s">
        <v>5864</v>
      </c>
      <c r="F101" s="121" t="s">
        <v>3134</v>
      </c>
      <c r="G101" s="138"/>
      <c r="H101" s="192" t="str">
        <f t="shared" si="7"/>
        <v>mrioveralldiagnosis</v>
      </c>
      <c r="I101" s="192" t="b">
        <f t="shared" si="8"/>
        <v>1</v>
      </c>
      <c r="J101" s="192" t="str">
        <f>IFERROR(__xludf.DUMMYFUNCTION("regexreplace(F101, ""_"", """")"),"mrioveralldiagnosis")</f>
        <v>mrioveralldiagnosis</v>
      </c>
      <c r="K10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""ses"")"),"mri_overall_diagnosis")</f>
        <v>mri_overall_diagnosis</v>
      </c>
      <c r="L101" s="193"/>
      <c r="M101" s="193"/>
      <c r="N101" s="193"/>
      <c r="O101" s="193"/>
      <c r="P101" s="194"/>
      <c r="Q101" s="143" t="s">
        <v>5865</v>
      </c>
    </row>
    <row r="102">
      <c r="A102" s="33"/>
      <c r="B102" s="61" t="s">
        <v>5847</v>
      </c>
      <c r="C102" s="12" t="s">
        <v>2897</v>
      </c>
      <c r="D102" s="12" t="s">
        <v>2897</v>
      </c>
      <c r="E102" s="142" t="s">
        <v>5866</v>
      </c>
      <c r="F102" s="121" t="s">
        <v>3395</v>
      </c>
      <c r="G102" s="138"/>
      <c r="H102" s="192" t="str">
        <f t="shared" si="7"/>
        <v>mrinrnpatternofinjury</v>
      </c>
      <c r="I102" s="192" t="b">
        <f t="shared" si="8"/>
        <v>1</v>
      </c>
      <c r="J102" s="192" t="str">
        <f>IFERROR(__xludf.DUMMYFUNCTION("regexreplace(F102, ""_"", """")"),"mrinrnpatternofinjury")</f>
        <v>mrinrnpatternofinjury</v>
      </c>
      <c r="K10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""ses"")"),"mri_nrn_pattern_of_injury")</f>
        <v>mri_nrn_pattern_of_injury</v>
      </c>
      <c r="L102" s="193"/>
      <c r="M102" s="193"/>
      <c r="N102" s="193"/>
      <c r="O102" s="193"/>
      <c r="P102" s="143" t="s">
        <v>5867</v>
      </c>
      <c r="Q102" s="143" t="s">
        <v>5868</v>
      </c>
    </row>
    <row r="103">
      <c r="A103" s="33"/>
      <c r="B103" s="61" t="s">
        <v>5847</v>
      </c>
      <c r="C103" s="12" t="s">
        <v>2856</v>
      </c>
      <c r="D103" s="12" t="s">
        <v>26</v>
      </c>
      <c r="E103" s="142"/>
      <c r="F103" s="121" t="s">
        <v>2858</v>
      </c>
      <c r="G103" s="138"/>
      <c r="H103" s="192" t="str">
        <f t="shared" si="7"/>
        <v>mridate</v>
      </c>
      <c r="I103" s="192" t="b">
        <f t="shared" si="8"/>
        <v>1</v>
      </c>
      <c r="J103" s="192" t="str">
        <f>IFERROR(__xludf.DUMMYFUNCTION("regexreplace(F103, ""_"", """")"),"mridate")</f>
        <v>mridate</v>
      </c>
      <c r="K10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""ses"")"),"mri_date")</f>
        <v>mri_date</v>
      </c>
      <c r="L103" s="193"/>
      <c r="M103" s="193"/>
      <c r="N103" s="193"/>
      <c r="O103" s="193"/>
      <c r="P103" s="143" t="s">
        <v>5869</v>
      </c>
      <c r="Q103" s="194"/>
    </row>
    <row r="104">
      <c r="A104" s="33"/>
      <c r="B104" s="61" t="s">
        <v>5847</v>
      </c>
      <c r="C104" s="12" t="s">
        <v>2860</v>
      </c>
      <c r="D104" s="12" t="s">
        <v>145</v>
      </c>
      <c r="E104" s="142"/>
      <c r="F104" s="121" t="s">
        <v>2862</v>
      </c>
      <c r="G104" s="138"/>
      <c r="H104" s="192" t="str">
        <f t="shared" si="7"/>
        <v>mritime</v>
      </c>
      <c r="I104" s="192" t="b">
        <f t="shared" si="8"/>
        <v>1</v>
      </c>
      <c r="J104" s="192" t="str">
        <f>IFERROR(__xludf.DUMMYFUNCTION("regexreplace(F104, ""_"", """")"),"mritime")</f>
        <v>mritime</v>
      </c>
      <c r="K10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""ses"")"),"mri_time")</f>
        <v>mri_time</v>
      </c>
      <c r="L104" s="193"/>
      <c r="M104" s="193"/>
      <c r="N104" s="193"/>
      <c r="O104" s="193"/>
      <c r="P104" s="143" t="s">
        <v>5870</v>
      </c>
      <c r="Q104" s="194"/>
    </row>
    <row r="105">
      <c r="A105" s="33"/>
      <c r="B105" s="61" t="s">
        <v>5847</v>
      </c>
      <c r="C105" s="12" t="s">
        <v>5871</v>
      </c>
      <c r="D105" s="12" t="s">
        <v>40</v>
      </c>
      <c r="E105" s="142"/>
      <c r="F105" s="121" t="s">
        <v>5872</v>
      </c>
      <c r="G105" s="138"/>
      <c r="H105" s="192" t="str">
        <f t="shared" si="7"/>
        <v>mrinotdone</v>
      </c>
      <c r="I105" s="192" t="b">
        <f t="shared" si="8"/>
        <v>1</v>
      </c>
      <c r="J105" s="192" t="str">
        <f>IFERROR(__xludf.DUMMYFUNCTION("regexreplace(F105, ""_"", """")"),"mrinotdone")</f>
        <v>mrinotdone</v>
      </c>
      <c r="K10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""ses"")"),"mri_not_done")</f>
        <v>mri_not_done</v>
      </c>
      <c r="L105" s="193"/>
      <c r="M105" s="193"/>
      <c r="N105" s="193"/>
      <c r="O105" s="193"/>
      <c r="P105" s="143" t="s">
        <v>5873</v>
      </c>
      <c r="Q105" s="194"/>
    </row>
    <row r="106">
      <c r="A106" s="33"/>
      <c r="B106" s="61" t="s">
        <v>5847</v>
      </c>
      <c r="C106" s="12" t="s">
        <v>5874</v>
      </c>
      <c r="D106" s="12" t="s">
        <v>40</v>
      </c>
      <c r="E106" s="142"/>
      <c r="F106" s="121" t="s">
        <v>5875</v>
      </c>
      <c r="G106" s="138"/>
      <c r="H106" s="192" t="str">
        <f t="shared" si="7"/>
        <v>mriunread</v>
      </c>
      <c r="I106" s="192" t="b">
        <f t="shared" si="8"/>
        <v>1</v>
      </c>
      <c r="J106" s="192" t="str">
        <f>IFERROR(__xludf.DUMMYFUNCTION("regexreplace(F106, ""_"", """")"),"mriunread")</f>
        <v>mriunread</v>
      </c>
      <c r="K10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""ses"")"),"mri_unread")</f>
        <v>mri_unread</v>
      </c>
      <c r="L106" s="193"/>
      <c r="M106" s="193"/>
      <c r="N106" s="193"/>
      <c r="O106" s="193"/>
      <c r="P106" s="143" t="s">
        <v>5876</v>
      </c>
      <c r="Q106" s="194"/>
    </row>
    <row r="107">
      <c r="A107" s="33"/>
      <c r="B107" s="61" t="s">
        <v>5847</v>
      </c>
      <c r="C107" s="12" t="s">
        <v>5877</v>
      </c>
      <c r="D107" s="12" t="s">
        <v>40</v>
      </c>
      <c r="E107" s="142" t="s">
        <v>5878</v>
      </c>
      <c r="F107" s="121" t="s">
        <v>5879</v>
      </c>
      <c r="G107" s="138"/>
      <c r="H107" s="192" t="str">
        <f t="shared" si="7"/>
        <v>mrianalysis</v>
      </c>
      <c r="I107" s="192" t="b">
        <f t="shared" si="8"/>
        <v>1</v>
      </c>
      <c r="J107" s="192" t="str">
        <f>IFERROR(__xludf.DUMMYFUNCTION("regexreplace(F107, ""_"", """")"),"mrianalysis")</f>
        <v>mrianalysis</v>
      </c>
      <c r="K10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""ses"")"),"mri_analysis")</f>
        <v>mri_analysis</v>
      </c>
      <c r="L107" s="193"/>
      <c r="M107" s="193"/>
      <c r="N107" s="193"/>
      <c r="O107" s="193"/>
      <c r="P107" s="194"/>
      <c r="Q107" s="143" t="s">
        <v>5880</v>
      </c>
    </row>
    <row r="108">
      <c r="A108" s="33"/>
      <c r="B108" s="61" t="s">
        <v>5847</v>
      </c>
      <c r="C108" s="12" t="s">
        <v>5881</v>
      </c>
      <c r="D108" s="12" t="s">
        <v>40</v>
      </c>
      <c r="E108" s="142" t="s">
        <v>5882</v>
      </c>
      <c r="F108" s="121" t="s">
        <v>5883</v>
      </c>
      <c r="G108" s="138"/>
      <c r="H108" s="192" t="str">
        <f t="shared" si="7"/>
        <v>abnormalmriresult</v>
      </c>
      <c r="I108" s="192" t="b">
        <f t="shared" si="8"/>
        <v>1</v>
      </c>
      <c r="J108" s="192" t="str">
        <f>IFERROR(__xludf.DUMMYFUNCTION("regexreplace(F108, ""_"", """")"),"abnormalmriresult")</f>
        <v>abnormalmriresult</v>
      </c>
      <c r="K10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""ses"")"),"abnormal_mri_result")</f>
        <v>abnormal_mri_result</v>
      </c>
      <c r="L108" s="193"/>
      <c r="M108" s="193"/>
      <c r="N108" s="193"/>
      <c r="O108" s="193"/>
      <c r="P108" s="194"/>
      <c r="Q108" s="143" t="s">
        <v>5884</v>
      </c>
    </row>
    <row r="109">
      <c r="A109" s="33"/>
      <c r="B109" s="61" t="s">
        <v>5847</v>
      </c>
      <c r="C109" s="12" t="s">
        <v>5885</v>
      </c>
      <c r="D109" s="12" t="s">
        <v>5886</v>
      </c>
      <c r="E109" s="142" t="s">
        <v>5887</v>
      </c>
      <c r="F109" s="121" t="s">
        <v>5888</v>
      </c>
      <c r="G109" s="138"/>
      <c r="H109" s="192" t="str">
        <f t="shared" si="7"/>
        <v>mrinrnpatternofinjurywsvsbgtplic</v>
      </c>
      <c r="I109" s="192" t="b">
        <f t="shared" si="8"/>
        <v>1</v>
      </c>
      <c r="J109" s="192" t="str">
        <f>IFERROR(__xludf.DUMMYFUNCTION("regexreplace(F109, ""_"", """")"),"mrinrnpatternofinjurywsvsbgtplic")</f>
        <v>mrinrnpatternofinjurywsvsbgtplic</v>
      </c>
      <c r="K10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109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""ses"")"),"mri_nrn_pattern_of_injury_w_svs_bgt_plic")</f>
        <v>mri_nrn_pattern_of_injury_w_svs_bgt_plic</v>
      </c>
      <c r="L109" s="193"/>
      <c r="M109" s="193"/>
      <c r="N109" s="193"/>
      <c r="O109" s="193"/>
      <c r="P109" s="194"/>
      <c r="Q109" s="143" t="s">
        <v>5889</v>
      </c>
    </row>
    <row r="110">
      <c r="A110" s="33"/>
      <c r="B110" s="33"/>
      <c r="C110" s="12"/>
      <c r="D110" s="12"/>
      <c r="E110" s="142"/>
      <c r="F110" s="121"/>
      <c r="G110" s="138"/>
      <c r="H110" s="192"/>
      <c r="I110" s="192"/>
      <c r="J110" s="192"/>
      <c r="K110" s="121"/>
      <c r="L110" s="193"/>
      <c r="M110" s="193"/>
      <c r="N110" s="193"/>
      <c r="O110" s="193"/>
      <c r="P110" s="194"/>
      <c r="Q110" s="143"/>
    </row>
    <row r="111">
      <c r="A111" s="33"/>
      <c r="B111" s="61" t="s">
        <v>5847</v>
      </c>
      <c r="C111" s="12" t="s">
        <v>5890</v>
      </c>
      <c r="D111" s="12" t="s">
        <v>40</v>
      </c>
      <c r="E111" s="142" t="s">
        <v>5891</v>
      </c>
      <c r="F111" s="121" t="s">
        <v>5892</v>
      </c>
      <c r="G111" s="138"/>
      <c r="H111" s="192" t="str">
        <f t="shared" ref="H111:H156" si="9">lower(C111)</f>
        <v>cerebrallesion</v>
      </c>
      <c r="I111" s="192" t="b">
        <f t="shared" ref="I111:I156" si="10">exact(H111, J111)</f>
        <v>1</v>
      </c>
      <c r="J111" s="192" t="str">
        <f>IFERROR(__xludf.DUMMYFUNCTION("regexreplace(F111, ""_"", """")"),"cerebrallesion")</f>
        <v>cerebrallesion</v>
      </c>
      <c r="K11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""ses"")"),"cerebral_lesion")</f>
        <v>cerebral_lesion</v>
      </c>
      <c r="L111" s="193"/>
      <c r="M111" s="193"/>
      <c r="N111" s="193"/>
      <c r="O111" s="193"/>
      <c r="P111" s="194"/>
      <c r="Q111" s="143" t="s">
        <v>5893</v>
      </c>
    </row>
    <row r="112">
      <c r="A112" s="33"/>
      <c r="B112" s="61" t="s">
        <v>5847</v>
      </c>
      <c r="C112" s="12" t="s">
        <v>5894</v>
      </c>
      <c r="D112" s="12" t="s">
        <v>5895</v>
      </c>
      <c r="E112" s="142" t="s">
        <v>5896</v>
      </c>
      <c r="F112" s="121" t="s">
        <v>5897</v>
      </c>
      <c r="G112" s="138"/>
      <c r="H112" s="192" t="str">
        <f t="shared" si="9"/>
        <v>cerebellarlesion</v>
      </c>
      <c r="I112" s="192" t="b">
        <f t="shared" si="10"/>
        <v>1</v>
      </c>
      <c r="J112" s="192" t="str">
        <f>IFERROR(__xludf.DUMMYFUNCTION("regexreplace(F112, ""_"", """")"),"cerebellarlesion")</f>
        <v>cerebellarlesion</v>
      </c>
      <c r="K11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""ses"")"),"cerebellar_lesion")</f>
        <v>cerebellar_lesion</v>
      </c>
      <c r="L112" s="193"/>
      <c r="M112" s="193"/>
      <c r="N112" s="193"/>
      <c r="O112" s="193"/>
      <c r="P112" s="194"/>
      <c r="Q112" s="143" t="s">
        <v>5898</v>
      </c>
    </row>
    <row r="113">
      <c r="A113" s="33"/>
      <c r="B113" s="61" t="s">
        <v>5847</v>
      </c>
      <c r="C113" s="12" t="s">
        <v>5899</v>
      </c>
      <c r="D113" s="12" t="s">
        <v>5895</v>
      </c>
      <c r="E113" s="142" t="s">
        <v>5900</v>
      </c>
      <c r="F113" s="121" t="s">
        <v>5901</v>
      </c>
      <c r="G113" s="138"/>
      <c r="H113" s="192" t="str">
        <f t="shared" si="9"/>
        <v>basalganglialesion</v>
      </c>
      <c r="I113" s="192" t="b">
        <f t="shared" si="10"/>
        <v>1</v>
      </c>
      <c r="J113" s="192" t="str">
        <f>IFERROR(__xludf.DUMMYFUNCTION("regexreplace(F113, ""_"", """")"),"basalganglialesion")</f>
        <v>basalganglialesion</v>
      </c>
      <c r="K11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""ses"")"),"basal_ganglia_lesion")</f>
        <v>basal_ganglia_lesion</v>
      </c>
      <c r="L113" s="193"/>
      <c r="M113" s="193"/>
      <c r="N113" s="193"/>
      <c r="O113" s="193"/>
      <c r="P113" s="194"/>
      <c r="Q113" s="143" t="s">
        <v>5902</v>
      </c>
    </row>
    <row r="114">
      <c r="A114" s="33"/>
      <c r="B114" s="61" t="s">
        <v>5847</v>
      </c>
      <c r="C114" s="12" t="s">
        <v>5903</v>
      </c>
      <c r="D114" s="12" t="s">
        <v>5895</v>
      </c>
      <c r="E114" s="142" t="s">
        <v>5904</v>
      </c>
      <c r="F114" s="121" t="s">
        <v>5905</v>
      </c>
      <c r="G114" s="138"/>
      <c r="H114" s="192" t="str">
        <f t="shared" si="9"/>
        <v>brainstemlesion</v>
      </c>
      <c r="I114" s="192" t="b">
        <f t="shared" si="10"/>
        <v>1</v>
      </c>
      <c r="J114" s="192" t="str">
        <f>IFERROR(__xludf.DUMMYFUNCTION("regexreplace(F114, ""_"", """")"),"brainstemlesion")</f>
        <v>brainstemlesion</v>
      </c>
      <c r="K11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""ses"")"),"brainstem_lesion")</f>
        <v>brainstem_lesion</v>
      </c>
      <c r="L114" s="193"/>
      <c r="M114" s="193"/>
      <c r="N114" s="193"/>
      <c r="O114" s="193"/>
      <c r="P114" s="194"/>
      <c r="Q114" s="143" t="s">
        <v>5906</v>
      </c>
    </row>
    <row r="115">
      <c r="A115" s="33"/>
      <c r="B115" s="61" t="s">
        <v>5847</v>
      </c>
      <c r="C115" s="12" t="s">
        <v>5907</v>
      </c>
      <c r="D115" s="12" t="s">
        <v>5895</v>
      </c>
      <c r="E115" s="142" t="s">
        <v>5908</v>
      </c>
      <c r="F115" s="121" t="s">
        <v>5909</v>
      </c>
      <c r="G115" s="138"/>
      <c r="H115" s="192" t="str">
        <f t="shared" si="9"/>
        <v>corpuscallosumlesion</v>
      </c>
      <c r="I115" s="192" t="b">
        <f t="shared" si="10"/>
        <v>1</v>
      </c>
      <c r="J115" s="192" t="str">
        <f>IFERROR(__xludf.DUMMYFUNCTION("regexreplace(F115, ""_"", """")"),"corpuscallosumlesion")</f>
        <v>corpuscallosumlesion</v>
      </c>
      <c r="K11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""ses"")"),"corpus_callosum_lesion")</f>
        <v>corpus_callosum_lesion</v>
      </c>
      <c r="L115" s="193"/>
      <c r="M115" s="193"/>
      <c r="N115" s="193"/>
      <c r="O115" s="193"/>
      <c r="P115" s="194"/>
      <c r="Q115" s="143" t="s">
        <v>5910</v>
      </c>
    </row>
    <row r="116">
      <c r="A116" s="33"/>
      <c r="B116" s="61" t="s">
        <v>5847</v>
      </c>
      <c r="C116" s="12" t="s">
        <v>5911</v>
      </c>
      <c r="D116" s="12" t="s">
        <v>5895</v>
      </c>
      <c r="E116" s="142" t="s">
        <v>5912</v>
      </c>
      <c r="F116" s="121" t="s">
        <v>5913</v>
      </c>
      <c r="G116" s="138"/>
      <c r="H116" s="192" t="str">
        <f t="shared" si="9"/>
        <v>cerebrallesionlobe</v>
      </c>
      <c r="I116" s="192" t="b">
        <f t="shared" si="10"/>
        <v>1</v>
      </c>
      <c r="J116" s="192" t="str">
        <f>IFERROR(__xludf.DUMMYFUNCTION("regexreplace(F116, ""_"", """")"),"cerebrallesionlobe")</f>
        <v>cerebrallesionlobe</v>
      </c>
      <c r="K11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""ses"")"),"cerebral_lesion_lobe")</f>
        <v>cerebral_lesion_lobe</v>
      </c>
      <c r="L116" s="193"/>
      <c r="M116" s="193"/>
      <c r="N116" s="193"/>
      <c r="O116" s="193"/>
      <c r="P116" s="194"/>
      <c r="Q116" s="143" t="s">
        <v>5914</v>
      </c>
    </row>
    <row r="117">
      <c r="A117" s="33"/>
      <c r="B117" s="61" t="s">
        <v>5847</v>
      </c>
      <c r="C117" s="12" t="s">
        <v>5915</v>
      </c>
      <c r="D117" s="12" t="s">
        <v>5895</v>
      </c>
      <c r="E117" s="142" t="s">
        <v>5916</v>
      </c>
      <c r="F117" s="121" t="s">
        <v>5917</v>
      </c>
      <c r="G117" s="138"/>
      <c r="H117" s="192" t="str">
        <f t="shared" si="9"/>
        <v>coronaradiatalesion</v>
      </c>
      <c r="I117" s="192" t="b">
        <f t="shared" si="10"/>
        <v>1</v>
      </c>
      <c r="J117" s="192" t="str">
        <f>IFERROR(__xludf.DUMMYFUNCTION("regexreplace(F117, ""_"", """")"),"coronaradiatalesion")</f>
        <v>coronaradiatalesion</v>
      </c>
      <c r="K11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""ses"")"),"corona_radiata_lesion")</f>
        <v>corona_radiata_lesion</v>
      </c>
      <c r="L117" s="193"/>
      <c r="M117" s="193"/>
      <c r="N117" s="193"/>
      <c r="O117" s="193"/>
      <c r="P117" s="194"/>
      <c r="Q117" s="143" t="s">
        <v>5918</v>
      </c>
    </row>
    <row r="118">
      <c r="A118" s="33"/>
      <c r="B118" s="61" t="s">
        <v>5847</v>
      </c>
      <c r="C118" s="12" t="s">
        <v>5919</v>
      </c>
      <c r="D118" s="12" t="s">
        <v>5895</v>
      </c>
      <c r="E118" s="142" t="s">
        <v>5920</v>
      </c>
      <c r="F118" s="121" t="s">
        <v>5919</v>
      </c>
      <c r="G118" s="138"/>
      <c r="H118" s="192" t="str">
        <f t="shared" si="9"/>
        <v>edema</v>
      </c>
      <c r="I118" s="192" t="b">
        <f t="shared" si="10"/>
        <v>1</v>
      </c>
      <c r="J118" s="192" t="str">
        <f>IFERROR(__xludf.DUMMYFUNCTION("regexreplace(F118, ""_"", """")"),"edema")</f>
        <v>edema</v>
      </c>
      <c r="K11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""ses"")"),"edema")</f>
        <v>edema</v>
      </c>
      <c r="L118" s="193"/>
      <c r="M118" s="193"/>
      <c r="N118" s="193"/>
      <c r="O118" s="193"/>
      <c r="P118" s="194"/>
      <c r="Q118" s="143" t="s">
        <v>5919</v>
      </c>
    </row>
    <row r="119">
      <c r="A119" s="33"/>
      <c r="B119" s="61" t="s">
        <v>5847</v>
      </c>
      <c r="C119" s="12" t="s">
        <v>5921</v>
      </c>
      <c r="D119" s="12" t="s">
        <v>5895</v>
      </c>
      <c r="E119" s="142" t="s">
        <v>5922</v>
      </c>
      <c r="F119" s="121" t="s">
        <v>5923</v>
      </c>
      <c r="G119" s="138"/>
      <c r="H119" s="192" t="str">
        <f t="shared" si="9"/>
        <v>extraaxiallesion</v>
      </c>
      <c r="I119" s="192" t="b">
        <f t="shared" si="10"/>
        <v>1</v>
      </c>
      <c r="J119" s="192" t="str">
        <f>IFERROR(__xludf.DUMMYFUNCTION("regexreplace(F119, ""_"", """")"),"extraaxiallesion")</f>
        <v>extraaxiallesion</v>
      </c>
      <c r="K11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119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""ses"")"),"extra_axial_lesion")</f>
        <v>extra_axial_lesion</v>
      </c>
      <c r="L119" s="193"/>
      <c r="M119" s="193"/>
      <c r="N119" s="193"/>
      <c r="O119" s="193"/>
      <c r="P119" s="194"/>
      <c r="Q119" s="143" t="s">
        <v>5924</v>
      </c>
    </row>
    <row r="120">
      <c r="A120" s="33"/>
      <c r="B120" s="61" t="s">
        <v>5847</v>
      </c>
      <c r="C120" s="12" t="s">
        <v>5925</v>
      </c>
      <c r="D120" s="12" t="s">
        <v>5925</v>
      </c>
      <c r="E120" s="142" t="s">
        <v>5926</v>
      </c>
      <c r="F120" s="121" t="s">
        <v>5925</v>
      </c>
      <c r="G120" s="138"/>
      <c r="H120" s="192" t="str">
        <f t="shared" si="9"/>
        <v>extent</v>
      </c>
      <c r="I120" s="192" t="b">
        <f t="shared" si="10"/>
        <v>1</v>
      </c>
      <c r="J120" s="192" t="str">
        <f>IFERROR(__xludf.DUMMYFUNCTION("regexreplace(F120, ""_"", """")"),"extent")</f>
        <v>extent</v>
      </c>
      <c r="K12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""ses"")"),"extent")</f>
        <v>extent</v>
      </c>
      <c r="L120" s="193"/>
      <c r="M120" s="193"/>
      <c r="N120" s="193"/>
      <c r="O120" s="193"/>
      <c r="P120" s="194"/>
      <c r="Q120" s="143" t="s">
        <v>5927</v>
      </c>
    </row>
    <row r="121">
      <c r="A121" s="33"/>
      <c r="B121" s="61" t="s">
        <v>5847</v>
      </c>
      <c r="C121" s="12" t="s">
        <v>5928</v>
      </c>
      <c r="D121" s="12" t="s">
        <v>5895</v>
      </c>
      <c r="E121" s="142" t="s">
        <v>5929</v>
      </c>
      <c r="F121" s="121" t="s">
        <v>5930</v>
      </c>
      <c r="G121" s="138"/>
      <c r="H121" s="192" t="str">
        <f t="shared" si="9"/>
        <v>frontalparietallesion</v>
      </c>
      <c r="I121" s="192" t="b">
        <f t="shared" si="10"/>
        <v>1</v>
      </c>
      <c r="J121" s="192" t="str">
        <f>IFERROR(__xludf.DUMMYFUNCTION("regexreplace(F121, ""_"", """")"),"frontalparietallesion")</f>
        <v>frontalparietallesion</v>
      </c>
      <c r="K12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""ses"")"),"frontal_parietal_lesion")</f>
        <v>frontal_parietal_lesion</v>
      </c>
      <c r="L121" s="193"/>
      <c r="M121" s="193"/>
      <c r="N121" s="193"/>
      <c r="O121" s="193"/>
      <c r="P121" s="194"/>
      <c r="Q121" s="143" t="s">
        <v>5931</v>
      </c>
    </row>
    <row r="122">
      <c r="A122" s="33"/>
      <c r="B122" s="61" t="s">
        <v>5847</v>
      </c>
      <c r="C122" s="12" t="s">
        <v>5932</v>
      </c>
      <c r="D122" s="12" t="s">
        <v>5895</v>
      </c>
      <c r="E122" s="142" t="s">
        <v>5933</v>
      </c>
      <c r="F122" s="121" t="s">
        <v>5934</v>
      </c>
      <c r="G122" s="138"/>
      <c r="H122" s="192" t="str">
        <f t="shared" si="9"/>
        <v>frontallesion</v>
      </c>
      <c r="I122" s="192" t="b">
        <f t="shared" si="10"/>
        <v>1</v>
      </c>
      <c r="J122" s="192" t="str">
        <f>IFERROR(__xludf.DUMMYFUNCTION("regexreplace(F122, ""_"", """")"),"frontallesion")</f>
        <v>frontallesion</v>
      </c>
      <c r="K12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""ses"")"),"frontal_lesion")</f>
        <v>frontal_lesion</v>
      </c>
      <c r="L122" s="193"/>
      <c r="M122" s="193"/>
      <c r="N122" s="193"/>
      <c r="O122" s="193"/>
      <c r="P122" s="194"/>
      <c r="Q122" s="143" t="s">
        <v>5935</v>
      </c>
    </row>
    <row r="123">
      <c r="A123" s="33"/>
      <c r="B123" s="61" t="s">
        <v>5847</v>
      </c>
      <c r="C123" s="12" t="s">
        <v>5936</v>
      </c>
      <c r="D123" s="12" t="s">
        <v>5937</v>
      </c>
      <c r="E123" s="142" t="s">
        <v>5938</v>
      </c>
      <c r="F123" s="121" t="s">
        <v>5939</v>
      </c>
      <c r="G123" s="138"/>
      <c r="H123" s="192" t="str">
        <f t="shared" si="9"/>
        <v>lateralhemisphericdevastation</v>
      </c>
      <c r="I123" s="192" t="b">
        <f t="shared" si="10"/>
        <v>1</v>
      </c>
      <c r="J123" s="192" t="str">
        <f>IFERROR(__xludf.DUMMYFUNCTION("regexreplace(F123, ""_"", """")"),"lateralhemisphericdevastation")</f>
        <v>lateralhemisphericdevastation</v>
      </c>
      <c r="K12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""ses"")"),"lateral_hemispheric_devastation")</f>
        <v>lateral_hemispheric_devastation</v>
      </c>
      <c r="L123" s="193"/>
      <c r="M123" s="193"/>
      <c r="N123" s="193"/>
      <c r="O123" s="193"/>
      <c r="P123" s="194"/>
      <c r="Q123" s="143" t="s">
        <v>5940</v>
      </c>
    </row>
    <row r="124">
      <c r="A124" s="33"/>
      <c r="B124" s="61" t="s">
        <v>5847</v>
      </c>
      <c r="C124" s="12" t="s">
        <v>5941</v>
      </c>
      <c r="D124" s="12" t="s">
        <v>5895</v>
      </c>
      <c r="E124" s="142" t="s">
        <v>5942</v>
      </c>
      <c r="F124" s="121" t="s">
        <v>5943</v>
      </c>
      <c r="G124" s="138"/>
      <c r="H124" s="192" t="str">
        <f t="shared" si="9"/>
        <v>hippocampuslesion</v>
      </c>
      <c r="I124" s="192" t="b">
        <f t="shared" si="10"/>
        <v>1</v>
      </c>
      <c r="J124" s="192" t="str">
        <f>IFERROR(__xludf.DUMMYFUNCTION("regexreplace(F124, ""_"", """")"),"hippocampuslesion")</f>
        <v>hippocampuslesion</v>
      </c>
      <c r="K12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""ses"")"),"hippocampus_lesion")</f>
        <v>hippocampus_lesion</v>
      </c>
      <c r="L124" s="193"/>
      <c r="M124" s="193"/>
      <c r="N124" s="193"/>
      <c r="O124" s="193"/>
      <c r="P124" s="194"/>
      <c r="Q124" s="143" t="s">
        <v>5944</v>
      </c>
    </row>
    <row r="125">
      <c r="A125" s="33"/>
      <c r="B125" s="61" t="s">
        <v>5847</v>
      </c>
      <c r="C125" s="12" t="s">
        <v>5945</v>
      </c>
      <c r="D125" s="12" t="s">
        <v>5895</v>
      </c>
      <c r="E125" s="142" t="s">
        <v>5946</v>
      </c>
      <c r="F125" s="121" t="s">
        <v>5947</v>
      </c>
      <c r="G125" s="138"/>
      <c r="H125" s="192" t="str">
        <f t="shared" si="9"/>
        <v>hypothalamuslesion</v>
      </c>
      <c r="I125" s="192" t="b">
        <f t="shared" si="10"/>
        <v>1</v>
      </c>
      <c r="J125" s="192" t="str">
        <f>IFERROR(__xludf.DUMMYFUNCTION("regexreplace(F125, ""_"", """")"),"hypothalamuslesion")</f>
        <v>hypothalamuslesion</v>
      </c>
      <c r="K12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""ses"")"),"hypothalamus_lesion")</f>
        <v>hypothalamus_lesion</v>
      </c>
      <c r="L125" s="193"/>
      <c r="M125" s="193"/>
      <c r="N125" s="193"/>
      <c r="O125" s="193"/>
      <c r="P125" s="194"/>
      <c r="Q125" s="143" t="s">
        <v>5948</v>
      </c>
    </row>
    <row r="126">
      <c r="A126" s="33"/>
      <c r="B126" s="61" t="s">
        <v>5847</v>
      </c>
      <c r="C126" s="12" t="s">
        <v>5949</v>
      </c>
      <c r="D126" s="12" t="s">
        <v>5895</v>
      </c>
      <c r="E126" s="142" t="s">
        <v>5950</v>
      </c>
      <c r="F126" s="121" t="s">
        <v>5951</v>
      </c>
      <c r="G126" s="138"/>
      <c r="H126" s="192" t="str">
        <f t="shared" si="9"/>
        <v>insularlesion</v>
      </c>
      <c r="I126" s="192" t="b">
        <f t="shared" si="10"/>
        <v>1</v>
      </c>
      <c r="J126" s="192" t="str">
        <f>IFERROR(__xludf.DUMMYFUNCTION("regexreplace(F126, ""_"", """")"),"insularlesion")</f>
        <v>insularlesion</v>
      </c>
      <c r="K12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""ses"")"),"insular_lesion")</f>
        <v>insular_lesion</v>
      </c>
      <c r="L126" s="193"/>
      <c r="M126" s="193"/>
      <c r="N126" s="193"/>
      <c r="O126" s="193"/>
      <c r="P126" s="194"/>
      <c r="Q126" s="143" t="s">
        <v>5952</v>
      </c>
    </row>
    <row r="127">
      <c r="A127" s="33"/>
      <c r="B127" s="61" t="s">
        <v>5847</v>
      </c>
      <c r="C127" s="12" t="s">
        <v>5953</v>
      </c>
      <c r="D127" s="12" t="s">
        <v>5937</v>
      </c>
      <c r="E127" s="142" t="s">
        <v>5954</v>
      </c>
      <c r="F127" s="121" t="s">
        <v>5953</v>
      </c>
      <c r="G127" s="138"/>
      <c r="H127" s="192" t="str">
        <f t="shared" si="9"/>
        <v>laterality</v>
      </c>
      <c r="I127" s="192" t="b">
        <f t="shared" si="10"/>
        <v>1</v>
      </c>
      <c r="J127" s="192" t="str">
        <f>IFERROR(__xludf.DUMMYFUNCTION("regexreplace(F127, ""_"", """")"),"laterality")</f>
        <v>laterality</v>
      </c>
      <c r="K12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""ses"")"),"laterality")</f>
        <v>laterality</v>
      </c>
      <c r="L127" s="193"/>
      <c r="M127" s="193"/>
      <c r="N127" s="193"/>
      <c r="O127" s="193"/>
      <c r="P127" s="194"/>
      <c r="Q127" s="143" t="s">
        <v>5955</v>
      </c>
    </row>
    <row r="128">
      <c r="A128" s="33"/>
      <c r="B128" s="61" t="s">
        <v>5847</v>
      </c>
      <c r="C128" s="12" t="s">
        <v>5956</v>
      </c>
      <c r="D128" s="12" t="s">
        <v>5956</v>
      </c>
      <c r="E128" s="142" t="s">
        <v>5957</v>
      </c>
      <c r="F128" s="121" t="s">
        <v>5958</v>
      </c>
      <c r="G128" s="138"/>
      <c r="H128" s="192" t="str">
        <f t="shared" si="9"/>
        <v>bgt</v>
      </c>
      <c r="I128" s="192" t="b">
        <f t="shared" si="10"/>
        <v>1</v>
      </c>
      <c r="J128" s="192" t="str">
        <f>IFERROR(__xludf.DUMMYFUNCTION("regexreplace(F128, ""_"", """")"),"bgt")</f>
        <v>bgt</v>
      </c>
      <c r="K12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""ses"")"),"bgt")</f>
        <v>bgt</v>
      </c>
      <c r="L128" s="193"/>
      <c r="M128" s="193"/>
      <c r="N128" s="193"/>
      <c r="O128" s="193"/>
      <c r="P128" s="194"/>
      <c r="Q128" s="143" t="s">
        <v>5959</v>
      </c>
    </row>
    <row r="129">
      <c r="A129" s="33"/>
      <c r="B129" s="61" t="s">
        <v>5847</v>
      </c>
      <c r="C129" s="12" t="s">
        <v>5960</v>
      </c>
      <c r="D129" s="12" t="s">
        <v>5960</v>
      </c>
      <c r="E129" s="142" t="s">
        <v>5961</v>
      </c>
      <c r="F129" s="121" t="s">
        <v>5962</v>
      </c>
      <c r="G129" s="138"/>
      <c r="H129" s="192" t="str">
        <f t="shared" si="9"/>
        <v>plic</v>
      </c>
      <c r="I129" s="192" t="b">
        <f t="shared" si="10"/>
        <v>1</v>
      </c>
      <c r="J129" s="192" t="str">
        <f>IFERROR(__xludf.DUMMYFUNCTION("regexreplace(F129, ""_"", """")"),"plic")</f>
        <v>plic</v>
      </c>
      <c r="K12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129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""ses"")"),"plic")</f>
        <v>plic</v>
      </c>
      <c r="L129" s="193"/>
      <c r="M129" s="193"/>
      <c r="N129" s="193"/>
      <c r="O129" s="193"/>
      <c r="P129" s="345"/>
      <c r="Q129" s="143" t="s">
        <v>5963</v>
      </c>
    </row>
    <row r="130">
      <c r="A130" s="33"/>
      <c r="B130" s="61" t="s">
        <v>5847</v>
      </c>
      <c r="C130" s="12" t="s">
        <v>5964</v>
      </c>
      <c r="D130" s="12" t="s">
        <v>5964</v>
      </c>
      <c r="E130" s="142" t="s">
        <v>5965</v>
      </c>
      <c r="F130" s="121" t="s">
        <v>5964</v>
      </c>
      <c r="G130" s="138"/>
      <c r="H130" s="192" t="str">
        <f t="shared" si="9"/>
        <v>watershed</v>
      </c>
      <c r="I130" s="192" t="b">
        <f t="shared" si="10"/>
        <v>1</v>
      </c>
      <c r="J130" s="192" t="str">
        <f>IFERROR(__xludf.DUMMYFUNCTION("regexreplace(F130, ""_"", """")"),"watershed")</f>
        <v>watershed</v>
      </c>
      <c r="K13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""ses"")"),"watershed")</f>
        <v>watershed</v>
      </c>
      <c r="L130" s="193"/>
      <c r="M130" s="193"/>
      <c r="N130" s="193"/>
      <c r="O130" s="193"/>
      <c r="P130" s="194"/>
      <c r="Q130" s="143" t="s">
        <v>5966</v>
      </c>
    </row>
    <row r="131">
      <c r="A131" s="33"/>
      <c r="B131" s="61" t="s">
        <v>5847</v>
      </c>
      <c r="C131" s="12" t="s">
        <v>5967</v>
      </c>
      <c r="D131" s="12" t="s">
        <v>5967</v>
      </c>
      <c r="E131" s="142" t="s">
        <v>5968</v>
      </c>
      <c r="F131" s="121" t="s">
        <v>5969</v>
      </c>
      <c r="G131" s="138"/>
      <c r="H131" s="192" t="str">
        <f t="shared" si="9"/>
        <v>whitematterinjury</v>
      </c>
      <c r="I131" s="192" t="b">
        <f t="shared" si="10"/>
        <v>1</v>
      </c>
      <c r="J131" s="192" t="str">
        <f>IFERROR(__xludf.DUMMYFUNCTION("regexreplace(F131, ""_"", """")"),"whitematterinjury")</f>
        <v>whitematterinjury</v>
      </c>
      <c r="K13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""ses"")"),"white_matter_injury")</f>
        <v>white_matter_injury</v>
      </c>
      <c r="L131" s="193"/>
      <c r="M131" s="193"/>
      <c r="N131" s="193"/>
      <c r="O131" s="193"/>
      <c r="P131" s="194"/>
      <c r="Q131" s="143" t="s">
        <v>5970</v>
      </c>
    </row>
    <row r="132">
      <c r="A132" s="33"/>
      <c r="B132" s="61" t="s">
        <v>5847</v>
      </c>
      <c r="C132" s="12" t="s">
        <v>5971</v>
      </c>
      <c r="D132" s="12" t="s">
        <v>5895</v>
      </c>
      <c r="E132" s="142" t="s">
        <v>5972</v>
      </c>
      <c r="F132" s="121" t="s">
        <v>5973</v>
      </c>
      <c r="G132" s="138"/>
      <c r="H132" s="192" t="str">
        <f t="shared" si="9"/>
        <v>occipitallesion</v>
      </c>
      <c r="I132" s="192" t="b">
        <f t="shared" si="10"/>
        <v>1</v>
      </c>
      <c r="J132" s="192" t="str">
        <f>IFERROR(__xludf.DUMMYFUNCTION("regexreplace(F132, ""_"", """")"),"occipitallesion")</f>
        <v>occipitallesion</v>
      </c>
      <c r="K13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""ses"")"),"occipital_lesion")</f>
        <v>occipital_lesion</v>
      </c>
      <c r="L132" s="193"/>
      <c r="M132" s="193"/>
      <c r="N132" s="193"/>
      <c r="O132" s="193"/>
      <c r="P132" s="194"/>
      <c r="Q132" s="143" t="s">
        <v>5974</v>
      </c>
    </row>
    <row r="133">
      <c r="A133" s="33"/>
      <c r="B133" s="61" t="s">
        <v>5847</v>
      </c>
      <c r="C133" s="12" t="s">
        <v>5975</v>
      </c>
      <c r="D133" s="12" t="s">
        <v>5895</v>
      </c>
      <c r="E133" s="142" t="s">
        <v>5976</v>
      </c>
      <c r="F133" s="121" t="s">
        <v>5977</v>
      </c>
      <c r="G133" s="138"/>
      <c r="H133" s="192" t="str">
        <f t="shared" si="9"/>
        <v>opticchiasmlesion</v>
      </c>
      <c r="I133" s="192" t="b">
        <f t="shared" si="10"/>
        <v>1</v>
      </c>
      <c r="J133" s="192" t="str">
        <f>IFERROR(__xludf.DUMMYFUNCTION("regexreplace(F133, ""_"", """")"),"opticchiasmlesion")</f>
        <v>opticchiasmlesion</v>
      </c>
      <c r="K13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""ses"")"),"optic_chiasm_lesion")</f>
        <v>optic_chiasm_lesion</v>
      </c>
      <c r="L133" s="193"/>
      <c r="M133" s="193"/>
      <c r="N133" s="193"/>
      <c r="O133" s="193"/>
      <c r="P133" s="194"/>
      <c r="Q133" s="143" t="s">
        <v>5978</v>
      </c>
    </row>
    <row r="134">
      <c r="A134" s="33"/>
      <c r="B134" s="61" t="s">
        <v>5847</v>
      </c>
      <c r="C134" s="12" t="s">
        <v>5979</v>
      </c>
      <c r="D134" s="12" t="s">
        <v>5895</v>
      </c>
      <c r="E134" s="142" t="s">
        <v>5980</v>
      </c>
      <c r="F134" s="121" t="s">
        <v>5981</v>
      </c>
      <c r="G134" s="138"/>
      <c r="H134" s="192" t="str">
        <f t="shared" si="9"/>
        <v>otherlesion</v>
      </c>
      <c r="I134" s="192" t="b">
        <f t="shared" si="10"/>
        <v>1</v>
      </c>
      <c r="J134" s="192" t="str">
        <f>IFERROR(__xludf.DUMMYFUNCTION("regexreplace(F134, ""_"", """")"),"otherlesion")</f>
        <v>otherlesion</v>
      </c>
      <c r="K13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""ses"")"),"other_lesion")</f>
        <v>other_lesion</v>
      </c>
      <c r="L134" s="193"/>
      <c r="M134" s="193"/>
      <c r="N134" s="193"/>
      <c r="O134" s="193"/>
      <c r="P134" s="194"/>
      <c r="Q134" s="143" t="s">
        <v>5982</v>
      </c>
    </row>
    <row r="135">
      <c r="A135" s="33"/>
      <c r="B135" s="61" t="s">
        <v>5847</v>
      </c>
      <c r="C135" s="12" t="s">
        <v>5983</v>
      </c>
      <c r="D135" s="12" t="s">
        <v>5895</v>
      </c>
      <c r="E135" s="142" t="s">
        <v>5984</v>
      </c>
      <c r="F135" s="121" t="s">
        <v>5985</v>
      </c>
      <c r="G135" s="138"/>
      <c r="H135" s="192" t="str">
        <f t="shared" si="9"/>
        <v>othercerebrallesion</v>
      </c>
      <c r="I135" s="192" t="b">
        <f t="shared" si="10"/>
        <v>1</v>
      </c>
      <c r="J135" s="192" t="str">
        <f>IFERROR(__xludf.DUMMYFUNCTION("regexreplace(F135, ""_"", """")"),"othercerebrallesion")</f>
        <v>othercerebrallesion</v>
      </c>
      <c r="K13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""ses"")"),"other_cerebral_lesion")</f>
        <v>other_cerebral_lesion</v>
      </c>
      <c r="L135" s="193"/>
      <c r="M135" s="193"/>
      <c r="N135" s="193"/>
      <c r="O135" s="193"/>
      <c r="P135" s="194"/>
      <c r="Q135" s="143" t="s">
        <v>5986</v>
      </c>
    </row>
    <row r="136">
      <c r="A136" s="33"/>
      <c r="B136" s="61" t="s">
        <v>5847</v>
      </c>
      <c r="C136" s="12" t="s">
        <v>5987</v>
      </c>
      <c r="D136" s="12" t="s">
        <v>5895</v>
      </c>
      <c r="E136" s="142" t="s">
        <v>5988</v>
      </c>
      <c r="F136" s="121" t="s">
        <v>5989</v>
      </c>
      <c r="G136" s="138"/>
      <c r="H136" s="192" t="str">
        <f t="shared" si="9"/>
        <v>parasagittallesion</v>
      </c>
      <c r="I136" s="192" t="b">
        <f t="shared" si="10"/>
        <v>1</v>
      </c>
      <c r="J136" s="192" t="str">
        <f>IFERROR(__xludf.DUMMYFUNCTION("regexreplace(F136, ""_"", """")"),"parasagittallesion")</f>
        <v>parasagittallesion</v>
      </c>
      <c r="K13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""ses"")"),"parasagittal_lesion")</f>
        <v>parasagittal_lesion</v>
      </c>
      <c r="L136" s="193"/>
      <c r="M136" s="193"/>
      <c r="N136" s="193"/>
      <c r="O136" s="193"/>
      <c r="P136" s="194"/>
      <c r="Q136" s="143" t="s">
        <v>5990</v>
      </c>
    </row>
    <row r="137">
      <c r="A137" s="33"/>
      <c r="B137" s="61" t="s">
        <v>5847</v>
      </c>
      <c r="C137" s="12" t="s">
        <v>5991</v>
      </c>
      <c r="D137" s="12" t="s">
        <v>5895</v>
      </c>
      <c r="E137" s="142" t="s">
        <v>5992</v>
      </c>
      <c r="F137" s="121" t="s">
        <v>5993</v>
      </c>
      <c r="G137" s="138"/>
      <c r="H137" s="192" t="str">
        <f t="shared" si="9"/>
        <v>parietallesion</v>
      </c>
      <c r="I137" s="192" t="b">
        <f t="shared" si="10"/>
        <v>1</v>
      </c>
      <c r="J137" s="192" t="str">
        <f>IFERROR(__xludf.DUMMYFUNCTION("regexreplace(F137, ""_"", """")"),"parietallesion")</f>
        <v>parietallesion</v>
      </c>
      <c r="K13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""ses"")"),"parietal_lesion")</f>
        <v>parietal_lesion</v>
      </c>
      <c r="L137" s="193"/>
      <c r="M137" s="193"/>
      <c r="N137" s="193"/>
      <c r="O137" s="193"/>
      <c r="P137" s="194"/>
      <c r="Q137" s="143" t="s">
        <v>5994</v>
      </c>
    </row>
    <row r="138">
      <c r="A138" s="33"/>
      <c r="B138" s="61" t="s">
        <v>5847</v>
      </c>
      <c r="C138" s="12" t="s">
        <v>5995</v>
      </c>
      <c r="D138" s="12" t="s">
        <v>5895</v>
      </c>
      <c r="E138" s="142" t="s">
        <v>5996</v>
      </c>
      <c r="F138" s="121" t="s">
        <v>5997</v>
      </c>
      <c r="G138" s="138"/>
      <c r="H138" s="192" t="str">
        <f t="shared" si="9"/>
        <v>preirolandiclesion</v>
      </c>
      <c r="I138" s="192" t="b">
        <f t="shared" si="10"/>
        <v>1</v>
      </c>
      <c r="J138" s="192" t="str">
        <f>IFERROR(__xludf.DUMMYFUNCTION("regexreplace(F138, ""_"", """")"),"preirolandiclesion")</f>
        <v>preirolandiclesion</v>
      </c>
      <c r="K13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""ses"")"),"preirolandic_lesion")</f>
        <v>preirolandic_lesion</v>
      </c>
      <c r="L138" s="193"/>
      <c r="M138" s="193"/>
      <c r="N138" s="193"/>
      <c r="O138" s="193"/>
      <c r="P138" s="194"/>
      <c r="Q138" s="143" t="s">
        <v>5998</v>
      </c>
    </row>
    <row r="139">
      <c r="A139" s="33"/>
      <c r="B139" s="61" t="s">
        <v>5847</v>
      </c>
      <c r="C139" s="12" t="s">
        <v>5999</v>
      </c>
      <c r="D139" s="12" t="s">
        <v>5895</v>
      </c>
      <c r="E139" s="142" t="s">
        <v>6000</v>
      </c>
      <c r="F139" s="121" t="s">
        <v>6001</v>
      </c>
      <c r="G139" s="138"/>
      <c r="H139" s="192" t="str">
        <f t="shared" si="9"/>
        <v>perisylvianlesion</v>
      </c>
      <c r="I139" s="192" t="b">
        <f t="shared" si="10"/>
        <v>1</v>
      </c>
      <c r="J139" s="192" t="str">
        <f>IFERROR(__xludf.DUMMYFUNCTION("regexreplace(F139, ""_"", """")"),"perisylvianlesion")</f>
        <v>perisylvianlesion</v>
      </c>
      <c r="K13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139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""ses"")"),"perisylvian_lesion")</f>
        <v>perisylvian_lesion</v>
      </c>
      <c r="L139" s="193"/>
      <c r="M139" s="193"/>
      <c r="N139" s="193"/>
      <c r="O139" s="193"/>
      <c r="P139" s="194"/>
      <c r="Q139" s="143" t="s">
        <v>6002</v>
      </c>
    </row>
    <row r="140">
      <c r="A140" s="33"/>
      <c r="B140" s="61" t="s">
        <v>5847</v>
      </c>
      <c r="C140" s="12" t="s">
        <v>6003</v>
      </c>
      <c r="D140" s="12" t="s">
        <v>5895</v>
      </c>
      <c r="E140" s="349" t="s">
        <v>6004</v>
      </c>
      <c r="F140" s="121" t="s">
        <v>6005</v>
      </c>
      <c r="G140" s="138"/>
      <c r="H140" s="192" t="str">
        <f t="shared" si="9"/>
        <v>pituitarylesion</v>
      </c>
      <c r="I140" s="192" t="b">
        <f t="shared" si="10"/>
        <v>1</v>
      </c>
      <c r="J140" s="192" t="str">
        <f>IFERROR(__xludf.DUMMYFUNCTION("regexreplace(F140, ""_"", """")"),"pituitarylesion")</f>
        <v>pituitarylesion</v>
      </c>
      <c r="K14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""ses"")"),"pituitary_lesion")</f>
        <v>pituitary_lesion</v>
      </c>
      <c r="L140" s="193"/>
      <c r="M140" s="193"/>
      <c r="N140" s="193"/>
      <c r="O140" s="193"/>
      <c r="P140" s="194"/>
      <c r="Q140" s="143" t="s">
        <v>6006</v>
      </c>
    </row>
    <row r="141">
      <c r="A141" s="33"/>
      <c r="B141" s="61" t="s">
        <v>5847</v>
      </c>
      <c r="C141" s="12" t="s">
        <v>6007</v>
      </c>
      <c r="D141" s="12" t="s">
        <v>5895</v>
      </c>
      <c r="E141" s="142" t="s">
        <v>6008</v>
      </c>
      <c r="F141" s="121" t="s">
        <v>6009</v>
      </c>
      <c r="G141" s="138"/>
      <c r="H141" s="192" t="str">
        <f t="shared" si="9"/>
        <v>parietaloccipitallesion</v>
      </c>
      <c r="I141" s="192" t="b">
        <f t="shared" si="10"/>
        <v>1</v>
      </c>
      <c r="J141" s="192" t="str">
        <f>IFERROR(__xludf.DUMMYFUNCTION("regexreplace(F141, ""_"", """")"),"parietaloccipitallesion")</f>
        <v>parietaloccipitallesion</v>
      </c>
      <c r="K14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""ses"")"),"parietal_occipital_lesion")</f>
        <v>parietal_occipital_lesion</v>
      </c>
      <c r="L141" s="193"/>
      <c r="M141" s="193"/>
      <c r="N141" s="193"/>
      <c r="O141" s="193"/>
      <c r="P141" s="194"/>
      <c r="Q141" s="143" t="s">
        <v>6010</v>
      </c>
    </row>
    <row r="142">
      <c r="A142" s="33"/>
      <c r="B142" s="61" t="s">
        <v>5847</v>
      </c>
      <c r="C142" s="12" t="s">
        <v>6011</v>
      </c>
      <c r="D142" s="12" t="s">
        <v>5895</v>
      </c>
      <c r="E142" s="142" t="s">
        <v>6012</v>
      </c>
      <c r="F142" s="121" t="s">
        <v>6013</v>
      </c>
      <c r="G142" s="138"/>
      <c r="H142" s="192" t="str">
        <f t="shared" si="9"/>
        <v>parietaltemporallesion</v>
      </c>
      <c r="I142" s="192" t="b">
        <f t="shared" si="10"/>
        <v>1</v>
      </c>
      <c r="J142" s="192" t="str">
        <f>IFERROR(__xludf.DUMMYFUNCTION("regexreplace(F142, ""_"", """")"),"parietaltemporallesion")</f>
        <v>parietaltemporallesion</v>
      </c>
      <c r="K14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""ses"")"),"parietal_temporal_lesion")</f>
        <v>parietal_temporal_lesion</v>
      </c>
      <c r="L142" s="193"/>
      <c r="M142" s="193"/>
      <c r="N142" s="193"/>
      <c r="O142" s="193"/>
      <c r="P142" s="194"/>
      <c r="Q142" s="143" t="s">
        <v>6014</v>
      </c>
    </row>
    <row r="143">
      <c r="A143" s="33"/>
      <c r="B143" s="61" t="s">
        <v>5847</v>
      </c>
      <c r="C143" s="12" t="s">
        <v>6015</v>
      </c>
      <c r="D143" s="12" t="s">
        <v>5895</v>
      </c>
      <c r="E143" s="142" t="s">
        <v>6016</v>
      </c>
      <c r="F143" s="121" t="s">
        <v>6017</v>
      </c>
      <c r="G143" s="138"/>
      <c r="H143" s="192" t="str">
        <f t="shared" si="9"/>
        <v>scalplesion</v>
      </c>
      <c r="I143" s="192" t="b">
        <f t="shared" si="10"/>
        <v>1</v>
      </c>
      <c r="J143" s="192" t="str">
        <f>IFERROR(__xludf.DUMMYFUNCTION("regexreplace(F143, ""_"", """")"),"scalplesion")</f>
        <v>scalplesion</v>
      </c>
      <c r="K14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""ses"")"),"scalp_lesion")</f>
        <v>scalp_lesion</v>
      </c>
      <c r="L143" s="193"/>
      <c r="M143" s="193"/>
      <c r="N143" s="193"/>
      <c r="O143" s="193"/>
      <c r="P143" s="194"/>
      <c r="Q143" s="143" t="s">
        <v>6018</v>
      </c>
    </row>
    <row r="144">
      <c r="A144" s="33"/>
      <c r="B144" s="61" t="s">
        <v>5847</v>
      </c>
      <c r="C144" s="12" t="s">
        <v>6019</v>
      </c>
      <c r="D144" s="12" t="s">
        <v>5895</v>
      </c>
      <c r="E144" s="142" t="s">
        <v>6020</v>
      </c>
      <c r="F144" s="121" t="s">
        <v>6021</v>
      </c>
      <c r="G144" s="138"/>
      <c r="H144" s="192" t="str">
        <f t="shared" si="9"/>
        <v>thalamuslesion</v>
      </c>
      <c r="I144" s="192" t="b">
        <f t="shared" si="10"/>
        <v>1</v>
      </c>
      <c r="J144" s="192" t="str">
        <f>IFERROR(__xludf.DUMMYFUNCTION("regexreplace(F144, ""_"", """")"),"thalamuslesion")</f>
        <v>thalamuslesion</v>
      </c>
      <c r="K14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""ses"")"),"thalamus_lesion")</f>
        <v>thalamus_lesion</v>
      </c>
      <c r="L144" s="193"/>
      <c r="M144" s="193"/>
      <c r="N144" s="193"/>
      <c r="O144" s="193"/>
      <c r="P144" s="194"/>
      <c r="Q144" s="143" t="s">
        <v>6022</v>
      </c>
    </row>
    <row r="145">
      <c r="A145" s="33"/>
      <c r="B145" s="61" t="s">
        <v>5847</v>
      </c>
      <c r="C145" s="12" t="s">
        <v>6023</v>
      </c>
      <c r="D145" s="12" t="s">
        <v>5895</v>
      </c>
      <c r="E145" s="142" t="s">
        <v>6024</v>
      </c>
      <c r="F145" s="121" t="s">
        <v>6025</v>
      </c>
      <c r="G145" s="138"/>
      <c r="H145" s="192" t="str">
        <f t="shared" si="9"/>
        <v>temporallesion</v>
      </c>
      <c r="I145" s="192" t="b">
        <f t="shared" si="10"/>
        <v>1</v>
      </c>
      <c r="J145" s="192" t="str">
        <f>IFERROR(__xludf.DUMMYFUNCTION("regexreplace(F145, ""_"", """")"),"temporallesion")</f>
        <v>temporallesion</v>
      </c>
      <c r="K14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""ses"")"),"temporal_lesion")</f>
        <v>temporal_lesion</v>
      </c>
      <c r="L145" s="193"/>
      <c r="M145" s="193"/>
      <c r="N145" s="193"/>
      <c r="O145" s="193"/>
      <c r="P145" s="194"/>
      <c r="Q145" s="143" t="s">
        <v>6026</v>
      </c>
    </row>
    <row r="146">
      <c r="A146" s="33"/>
      <c r="B146" s="61" t="s">
        <v>5847</v>
      </c>
      <c r="C146" s="12" t="s">
        <v>6027</v>
      </c>
      <c r="D146" s="12" t="s">
        <v>5895</v>
      </c>
      <c r="E146" s="142" t="s">
        <v>6028</v>
      </c>
      <c r="F146" s="121" t="s">
        <v>6029</v>
      </c>
      <c r="G146" s="138"/>
      <c r="H146" s="192" t="str">
        <f t="shared" si="9"/>
        <v>temporaloccipitallesion</v>
      </c>
      <c r="I146" s="192" t="b">
        <f t="shared" si="10"/>
        <v>1</v>
      </c>
      <c r="J146" s="192" t="str">
        <f>IFERROR(__xludf.DUMMYFUNCTION("regexreplace(F146, ""_"", """")"),"temporaloccipitallesion")</f>
        <v>temporaloccipitallesion</v>
      </c>
      <c r="K14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""ses"")"),"temporal_occipital_lesion")</f>
        <v>temporal_occipital_lesion</v>
      </c>
      <c r="L146" s="193"/>
      <c r="M146" s="193"/>
      <c r="N146" s="193"/>
      <c r="O146" s="193"/>
      <c r="P146" s="194"/>
      <c r="Q146" s="143" t="s">
        <v>6030</v>
      </c>
    </row>
    <row r="147">
      <c r="A147" s="33"/>
      <c r="B147" s="61" t="s">
        <v>5847</v>
      </c>
      <c r="C147" s="12" t="s">
        <v>6031</v>
      </c>
      <c r="D147" s="12" t="s">
        <v>40</v>
      </c>
      <c r="E147" s="142" t="s">
        <v>6032</v>
      </c>
      <c r="F147" s="121" t="s">
        <v>6033</v>
      </c>
      <c r="G147" s="138"/>
      <c r="H147" s="192" t="str">
        <f t="shared" si="9"/>
        <v>cerebralatrophy</v>
      </c>
      <c r="I147" s="192" t="b">
        <f t="shared" si="10"/>
        <v>1</v>
      </c>
      <c r="J147" s="192" t="str">
        <f>IFERROR(__xludf.DUMMYFUNCTION("regexreplace(F147, ""_"", """")"),"cerebralatrophy")</f>
        <v>cerebralatrophy</v>
      </c>
      <c r="K147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147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""ses"")"),"cerebral_atrophy")</f>
        <v>cerebral_atrophy</v>
      </c>
      <c r="L147" s="193"/>
      <c r="M147" s="193"/>
      <c r="N147" s="193"/>
      <c r="O147" s="193"/>
      <c r="P147" s="194"/>
      <c r="Q147" s="143" t="s">
        <v>6034</v>
      </c>
    </row>
    <row r="148">
      <c r="A148" s="33"/>
      <c r="B148" s="61" t="s">
        <v>5847</v>
      </c>
      <c r="C148" s="12" t="s">
        <v>6035</v>
      </c>
      <c r="D148" s="12" t="s">
        <v>6035</v>
      </c>
      <c r="E148" s="142" t="s">
        <v>6036</v>
      </c>
      <c r="F148" s="121" t="s">
        <v>6037</v>
      </c>
      <c r="G148" s="138"/>
      <c r="H148" s="192" t="str">
        <f t="shared" si="9"/>
        <v>cererbalatrophyqualassesscc</v>
      </c>
      <c r="I148" s="192" t="b">
        <f t="shared" si="10"/>
        <v>1</v>
      </c>
      <c r="J148" s="192" t="str">
        <f>IFERROR(__xludf.DUMMYFUNCTION("regexreplace(F148, ""_"", """")"),"cererbalatrophyqualassesscc")</f>
        <v>cererbalatrophyqualassesscc</v>
      </c>
      <c r="K148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148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""ses"")"),"cererbal_atrophy_qual_assess_c_c")</f>
        <v>cererbal_atrophy_qual_assess_c_c</v>
      </c>
      <c r="L148" s="193"/>
      <c r="M148" s="193"/>
      <c r="N148" s="193"/>
      <c r="O148" s="193"/>
      <c r="P148" s="194"/>
      <c r="Q148" s="143" t="s">
        <v>6038</v>
      </c>
    </row>
    <row r="149">
      <c r="A149" s="33"/>
      <c r="B149" s="61" t="s">
        <v>5847</v>
      </c>
      <c r="C149" s="12" t="s">
        <v>6039</v>
      </c>
      <c r="D149" s="12" t="s">
        <v>6039</v>
      </c>
      <c r="E149" s="142" t="s">
        <v>6040</v>
      </c>
      <c r="F149" s="121" t="s">
        <v>6041</v>
      </c>
      <c r="G149" s="138"/>
      <c r="H149" s="192" t="str">
        <f t="shared" si="9"/>
        <v>cerebralatrophygloballocal</v>
      </c>
      <c r="I149" s="192" t="b">
        <f t="shared" si="10"/>
        <v>1</v>
      </c>
      <c r="J149" s="192" t="str">
        <f>IFERROR(__xludf.DUMMYFUNCTION("regexreplace(F149, ""_"", """")"),"cerebralatrophygloballocal")</f>
        <v>cerebralatrophygloballocal</v>
      </c>
      <c r="K149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149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""ses"")"),"cerebral_atrophy_global_local")</f>
        <v>cerebral_atrophy_global_local</v>
      </c>
      <c r="L149" s="193"/>
      <c r="M149" s="193"/>
      <c r="N149" s="193"/>
      <c r="O149" s="193"/>
      <c r="P149" s="194"/>
      <c r="Q149" s="143" t="s">
        <v>6042</v>
      </c>
    </row>
    <row r="150">
      <c r="A150" s="33"/>
      <c r="B150" s="61" t="s">
        <v>5847</v>
      </c>
      <c r="C150" s="12" t="s">
        <v>6043</v>
      </c>
      <c r="D150" s="12" t="s">
        <v>40</v>
      </c>
      <c r="E150" s="142" t="s">
        <v>6044</v>
      </c>
      <c r="F150" s="121" t="s">
        <v>6045</v>
      </c>
      <c r="G150" s="138"/>
      <c r="H150" s="192" t="str">
        <f t="shared" si="9"/>
        <v>vascularterritoryinfarction</v>
      </c>
      <c r="I150" s="192" t="b">
        <f t="shared" si="10"/>
        <v>1</v>
      </c>
      <c r="J150" s="192" t="str">
        <f>IFERROR(__xludf.DUMMYFUNCTION("regexreplace(F150, ""_"", """")"),"vascularterritoryinfarction")</f>
        <v>vascularterritoryinfarction</v>
      </c>
      <c r="K150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150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""ses"")"),"vascular_territory_infarction")</f>
        <v>vascular_territory_infarction</v>
      </c>
      <c r="L150" s="193"/>
      <c r="M150" s="193"/>
      <c r="N150" s="193"/>
      <c r="O150" s="193"/>
      <c r="Q150" s="143" t="s">
        <v>6046</v>
      </c>
    </row>
    <row r="151">
      <c r="A151" s="33"/>
      <c r="B151" s="61" t="s">
        <v>5847</v>
      </c>
      <c r="C151" s="12" t="s">
        <v>6047</v>
      </c>
      <c r="D151" s="12" t="s">
        <v>40</v>
      </c>
      <c r="E151" s="142"/>
      <c r="F151" s="121" t="s">
        <v>6048</v>
      </c>
      <c r="G151" s="138"/>
      <c r="H151" s="192" t="str">
        <f t="shared" si="9"/>
        <v>vascularterritoryinfarctionleft</v>
      </c>
      <c r="I151" s="192" t="b">
        <f t="shared" si="10"/>
        <v>1</v>
      </c>
      <c r="J151" s="192" t="str">
        <f>IFERROR(__xludf.DUMMYFUNCTION("regexreplace(F151, ""_"", """")"),"vascularterritoryinfarctionleft")</f>
        <v>vascularterritoryinfarctionleft</v>
      </c>
      <c r="K151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151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""ses"")"),"vascular_territory_infarction_left")</f>
        <v>vascular_territory_infarction_left</v>
      </c>
      <c r="L151" s="193"/>
      <c r="M151" s="193"/>
      <c r="N151" s="193"/>
      <c r="O151" s="193"/>
      <c r="P151" s="143" t="s">
        <v>6049</v>
      </c>
      <c r="Q151" s="194"/>
    </row>
    <row r="152">
      <c r="A152" s="33"/>
      <c r="B152" s="61" t="s">
        <v>5847</v>
      </c>
      <c r="C152" s="12" t="s">
        <v>6050</v>
      </c>
      <c r="D152" s="12" t="s">
        <v>40</v>
      </c>
      <c r="E152" s="142"/>
      <c r="F152" s="121" t="s">
        <v>6051</v>
      </c>
      <c r="G152" s="138"/>
      <c r="H152" s="192" t="str">
        <f t="shared" si="9"/>
        <v>vascularterritoryinfarctionright</v>
      </c>
      <c r="I152" s="192" t="b">
        <f t="shared" si="10"/>
        <v>1</v>
      </c>
      <c r="J152" s="192" t="str">
        <f>IFERROR(__xludf.DUMMYFUNCTION("regexreplace(F152, ""_"", """")"),"vascularterritoryinfarctionright")</f>
        <v>vascularterritoryinfarctionright</v>
      </c>
      <c r="K152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152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""ses"")"),"vascular_territory_infarction_right")</f>
        <v>vascular_territory_infarction_right</v>
      </c>
      <c r="L152" s="193"/>
      <c r="M152" s="193"/>
      <c r="N152" s="193"/>
      <c r="O152" s="193"/>
      <c r="P152" s="143" t="s">
        <v>6052</v>
      </c>
      <c r="Q152" s="194"/>
    </row>
    <row r="153">
      <c r="A153" s="33"/>
      <c r="B153" s="61" t="s">
        <v>5847</v>
      </c>
      <c r="C153" s="12" t="s">
        <v>6053</v>
      </c>
      <c r="D153" s="12" t="s">
        <v>40</v>
      </c>
      <c r="E153" s="142" t="s">
        <v>6054</v>
      </c>
      <c r="F153" s="121" t="s">
        <v>6055</v>
      </c>
      <c r="G153" s="138"/>
      <c r="H153" s="192" t="str">
        <f t="shared" si="9"/>
        <v>hemisphericdevastation</v>
      </c>
      <c r="I153" s="192" t="b">
        <f t="shared" si="10"/>
        <v>1</v>
      </c>
      <c r="J153" s="192" t="str">
        <f>IFERROR(__xludf.DUMMYFUNCTION("regexreplace(F153, ""_"", """")"),"hemisphericdevastation")</f>
        <v>hemisphericdevastation</v>
      </c>
      <c r="K153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153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""ses"")"),"hemispheric_devastation")</f>
        <v>hemispheric_devastation</v>
      </c>
      <c r="L153" s="193"/>
      <c r="M153" s="193"/>
      <c r="N153" s="193"/>
      <c r="O153" s="193"/>
      <c r="P153" s="194"/>
      <c r="Q153" s="143" t="s">
        <v>6056</v>
      </c>
    </row>
    <row r="154">
      <c r="A154" s="33"/>
      <c r="B154" s="61" t="s">
        <v>5847</v>
      </c>
      <c r="C154" s="12" t="s">
        <v>6057</v>
      </c>
      <c r="D154" s="12" t="s">
        <v>6057</v>
      </c>
      <c r="E154" s="142" t="s">
        <v>6058</v>
      </c>
      <c r="F154" s="121" t="s">
        <v>6059</v>
      </c>
      <c r="G154" s="138"/>
      <c r="H154" s="192" t="str">
        <f t="shared" si="9"/>
        <v>ventriculardilatation</v>
      </c>
      <c r="I154" s="192" t="b">
        <f t="shared" si="10"/>
        <v>1</v>
      </c>
      <c r="J154" s="192" t="str">
        <f>IFERROR(__xludf.DUMMYFUNCTION("regexreplace(F154, ""_"", """")"),"ventriculardilatation")</f>
        <v>ventriculardilatation</v>
      </c>
      <c r="K154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154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""ses"")"),"ventricular_dilatation")</f>
        <v>ventricular_dilatation</v>
      </c>
      <c r="L154" s="193"/>
      <c r="M154" s="193"/>
      <c r="N154" s="193"/>
      <c r="O154" s="193"/>
      <c r="P154" s="194"/>
      <c r="Q154" s="143" t="s">
        <v>6060</v>
      </c>
    </row>
    <row r="155">
      <c r="A155" s="33"/>
      <c r="B155" s="61" t="s">
        <v>5847</v>
      </c>
      <c r="C155" s="12" t="s">
        <v>6061</v>
      </c>
      <c r="D155" s="12" t="s">
        <v>5895</v>
      </c>
      <c r="E155" s="142" t="s">
        <v>6062</v>
      </c>
      <c r="F155" s="121" t="s">
        <v>6063</v>
      </c>
      <c r="G155" s="138"/>
      <c r="H155" s="192" t="str">
        <f t="shared" si="9"/>
        <v>vascularlesion</v>
      </c>
      <c r="I155" s="192" t="b">
        <f t="shared" si="10"/>
        <v>1</v>
      </c>
      <c r="J155" s="192" t="str">
        <f>IFERROR(__xludf.DUMMYFUNCTION("regexreplace(F155, ""_"", """")"),"vascularlesion")</f>
        <v>vascularlesion</v>
      </c>
      <c r="K155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155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""ses"")"),"vascular_lesion")</f>
        <v>vascular_lesion</v>
      </c>
      <c r="L155" s="193"/>
      <c r="M155" s="193"/>
      <c r="N155" s="193"/>
      <c r="O155" s="193"/>
      <c r="P155" s="194"/>
      <c r="Q155" s="143" t="s">
        <v>6064</v>
      </c>
    </row>
    <row r="156">
      <c r="A156" s="33"/>
      <c r="B156" s="61" t="s">
        <v>5847</v>
      </c>
      <c r="C156" s="12" t="s">
        <v>6065</v>
      </c>
      <c r="D156" s="12" t="s">
        <v>5895</v>
      </c>
      <c r="E156" s="142" t="s">
        <v>6066</v>
      </c>
      <c r="F156" s="121" t="s">
        <v>6067</v>
      </c>
      <c r="G156" s="138"/>
      <c r="H156" s="192" t="str">
        <f t="shared" si="9"/>
        <v>intraventricularlesion</v>
      </c>
      <c r="I156" s="192" t="b">
        <f t="shared" si="10"/>
        <v>1</v>
      </c>
      <c r="J156" s="192" t="str">
        <f>IFERROR(__xludf.DUMMYFUNCTION("regexreplace(F156, ""_"", """")"),"intraventricularlesion")</f>
        <v>intraventricularlesion</v>
      </c>
      <c r="K156" s="121" t="str">
        <f>IFERROR(__xludf.DUMMYFUNCTION("regexreplace(regexreplace(regexreplace(regexreplace(regexreplace(regexreplace(regexreplace(regexreplace(regexreplace(regexreplace(regexreplace(regexreplace(regexreplace(regexreplace(regexreplace(regexreplace(regexreplace(regexreplace(regexreplace(regexrep"&amp;"lace(regexreplace(regexreplace(regexreplace(regexreplace(regexreplace(regexreplace(regexreplace(regexreplace(regexreplace(regexreplace(regexreplace(regexreplace(regexreplace(regexreplace(regexreplace(regexreplace(regexreplace(regexreplace(lower(regexrepla"&amp;"ce(C156, ""([A-Z])"", ""_$1"")), ""m_r_i"", ""mri""), ""_i_d$"", ""_id""), ""d_n_r"", ""dnr""), ""a_p_g_a_r"", ""apgar""), ""_p_h"", ""_ph""), ""_p_c_o2"", ""_pco2""), ""_p_o2"", ""_po2""), ""_h_c_o3"", ""_hco3""), ""_a_s_t_s_g_o_t"", ""_ast_sgot""), ""_a"&amp;"_l_t_s_g_p_t"", ""_alt_sgpt""),  ""m_eq_per_l"", ""_meqperl""), ""mg_perd_l"", ""_mgperdl""), ""mm_hg"", ""_mmhg""), ""_u_per_l"", ""_uperl""), ""^_"", """"), ""e_k_g"", ""ekg""), ""s_a_e"", ""sae""), ""r_t_i"", ""rti""), ""f_l_a_i_r"", ""flair""), ""g_r_"&amp;"e_s_w_i"", ""greswi""), ""s_p_g_r"", ""spgr""), ""d_w_i"", ""dwi""), ""a_d_c"", ""adc""), ""m_r_s"", ""mrs""), ""_c_t"", ""_ct""), ""p_l_i_c"", ""plic""), ""a_l_i_c"", ""alic""), ""n_r_n"", ""nrn""), ""b_g_t"", ""bgt""), ""e_c_m_o"", ""ecmo""), ""c_n_s"","&amp;" ""cns""), ""c_p_a_p"", ""cpap""), ""fi_o2"", ""fio2""), ""e_e_g"", ""eeg""), ""h_i_e"", ""hie""), ""(\d)_([a-z])"", ""$1$2""), ""bayley_i_i_i"", ""bayleyiii""), ""s_e_s"", ""ses"")"),"intraventricular_lesion")</f>
        <v>intraventricular_lesion</v>
      </c>
      <c r="L156" s="193"/>
      <c r="M156" s="193"/>
      <c r="N156" s="193"/>
      <c r="O156" s="193"/>
      <c r="P156" s="194"/>
      <c r="Q156" s="143" t="s">
        <v>6068</v>
      </c>
    </row>
    <row r="157">
      <c r="A157" s="33"/>
      <c r="B157" s="33"/>
      <c r="C157" s="12"/>
      <c r="D157" s="12"/>
      <c r="E157" s="142"/>
      <c r="F157" s="121"/>
      <c r="G157" s="138"/>
      <c r="H157" s="192"/>
      <c r="I157" s="192"/>
      <c r="J157" s="192"/>
      <c r="K157" s="121"/>
      <c r="L157" s="193"/>
      <c r="M157" s="193"/>
      <c r="N157" s="193"/>
      <c r="O157" s="193"/>
      <c r="P157" s="143"/>
      <c r="Q157" s="143"/>
    </row>
  </sheetData>
  <conditionalFormatting sqref="C6">
    <cfRule type="notContainsBlanks" dxfId="0" priority="1">
      <formula>LEN(TRIM(C6))&gt;0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8</v>
      </c>
      <c r="C1" s="61" t="s">
        <v>9</v>
      </c>
      <c r="D1" s="61" t="s">
        <v>6144</v>
      </c>
    </row>
    <row r="2">
      <c r="A2" s="61" t="s">
        <v>184</v>
      </c>
      <c r="B2" s="158" t="s">
        <v>6107</v>
      </c>
      <c r="C2" s="158"/>
      <c r="D2" s="158"/>
    </row>
    <row r="3">
      <c r="A3" s="61" t="s">
        <v>6145</v>
      </c>
      <c r="B3" s="158" t="s">
        <v>6111</v>
      </c>
      <c r="C3" s="158"/>
      <c r="D3" s="158"/>
    </row>
    <row r="4">
      <c r="A4" s="160" t="s">
        <v>6146</v>
      </c>
      <c r="B4" s="158"/>
      <c r="C4" s="161" t="s">
        <v>6107</v>
      </c>
      <c r="D4" s="162"/>
    </row>
    <row r="5">
      <c r="A5" s="163" t="s">
        <v>6147</v>
      </c>
      <c r="B5" s="158"/>
      <c r="C5" s="164" t="s">
        <v>6111</v>
      </c>
      <c r="D5" s="162"/>
    </row>
    <row r="6">
      <c r="A6" s="163" t="s">
        <v>6148</v>
      </c>
      <c r="B6" s="158"/>
      <c r="C6" s="164" t="s">
        <v>6114</v>
      </c>
      <c r="D6" s="162"/>
    </row>
    <row r="7">
      <c r="A7" s="163" t="s">
        <v>6149</v>
      </c>
      <c r="B7" s="158"/>
      <c r="C7" s="164" t="s">
        <v>6129</v>
      </c>
      <c r="D7" s="162"/>
    </row>
    <row r="8">
      <c r="A8" s="165" t="s">
        <v>6150</v>
      </c>
      <c r="B8" s="158"/>
      <c r="C8" s="158"/>
      <c r="D8" s="158" t="s">
        <v>6108</v>
      </c>
    </row>
    <row r="9">
      <c r="A9" s="165" t="s">
        <v>6151</v>
      </c>
      <c r="B9" s="158"/>
      <c r="C9" s="158"/>
      <c r="D9" s="158" t="s">
        <v>6107</v>
      </c>
    </row>
    <row r="10">
      <c r="A10" s="166"/>
      <c r="B10" s="158"/>
      <c r="C10" s="158"/>
      <c r="D10" s="158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6152</v>
      </c>
      <c r="B2" s="158"/>
      <c r="C2" s="158" t="s">
        <v>6107</v>
      </c>
    </row>
    <row r="3">
      <c r="A3" s="61" t="s">
        <v>6153</v>
      </c>
      <c r="B3" s="158"/>
      <c r="C3" s="158" t="s">
        <v>6111</v>
      </c>
    </row>
    <row r="4">
      <c r="B4" s="158"/>
      <c r="C4" s="158"/>
    </row>
    <row r="5">
      <c r="B5" s="158"/>
      <c r="C5" s="158"/>
    </row>
    <row r="6">
      <c r="B6" s="158"/>
      <c r="C6" s="15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6104</v>
      </c>
      <c r="C1" s="158" t="s">
        <v>8</v>
      </c>
      <c r="D1" s="61" t="s">
        <v>9</v>
      </c>
    </row>
    <row r="2">
      <c r="A2" s="61" t="s">
        <v>6154</v>
      </c>
      <c r="B2" s="158" t="s">
        <v>6111</v>
      </c>
      <c r="C2" s="158"/>
      <c r="D2" s="158" t="s">
        <v>6111</v>
      </c>
    </row>
    <row r="3">
      <c r="A3" s="61" t="s">
        <v>6155</v>
      </c>
      <c r="B3" s="158" t="s">
        <v>6114</v>
      </c>
      <c r="C3" s="158"/>
      <c r="D3" s="158" t="s">
        <v>6114</v>
      </c>
    </row>
    <row r="4">
      <c r="B4" s="158"/>
      <c r="C4" s="158"/>
      <c r="D4" s="158"/>
    </row>
    <row r="5">
      <c r="B5" s="158"/>
      <c r="C5" s="158"/>
      <c r="D5" s="15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158" t="s">
        <v>6104</v>
      </c>
      <c r="C1" s="158" t="s">
        <v>8</v>
      </c>
      <c r="D1" s="61" t="s">
        <v>9</v>
      </c>
    </row>
    <row r="2">
      <c r="A2" s="61" t="s">
        <v>6156</v>
      </c>
      <c r="B2" s="158" t="s">
        <v>6107</v>
      </c>
      <c r="C2" s="158" t="s">
        <v>6107</v>
      </c>
      <c r="D2" s="158" t="s">
        <v>6107</v>
      </c>
    </row>
    <row r="3">
      <c r="A3" s="61" t="s">
        <v>6157</v>
      </c>
      <c r="B3" s="158" t="s">
        <v>6111</v>
      </c>
      <c r="C3" s="158" t="s">
        <v>6111</v>
      </c>
      <c r="D3" s="158" t="s">
        <v>6111</v>
      </c>
    </row>
    <row r="4">
      <c r="B4" s="158"/>
      <c r="C4" s="158"/>
      <c r="D4" s="158"/>
    </row>
    <row r="5">
      <c r="B5" s="159"/>
      <c r="C5" s="159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158" t="s">
        <v>6104</v>
      </c>
      <c r="C1" s="158" t="s">
        <v>8</v>
      </c>
      <c r="D1" s="61" t="s">
        <v>9</v>
      </c>
    </row>
    <row r="2">
      <c r="A2" s="61" t="s">
        <v>6158</v>
      </c>
      <c r="B2" s="158" t="s">
        <v>6107</v>
      </c>
      <c r="C2" s="158" t="s">
        <v>6107</v>
      </c>
      <c r="D2" s="158" t="s">
        <v>6107</v>
      </c>
    </row>
    <row r="3">
      <c r="A3" s="61" t="s">
        <v>6159</v>
      </c>
      <c r="B3" s="158" t="s">
        <v>6111</v>
      </c>
      <c r="C3" s="158" t="s">
        <v>6111</v>
      </c>
      <c r="D3" s="158" t="s">
        <v>6111</v>
      </c>
    </row>
    <row r="4">
      <c r="B4" s="158"/>
      <c r="C4" s="158"/>
      <c r="D4" s="158"/>
    </row>
    <row r="5">
      <c r="B5" s="159"/>
      <c r="C5" s="159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158" t="s">
        <v>6104</v>
      </c>
      <c r="C1" s="158" t="s">
        <v>8</v>
      </c>
      <c r="D1" s="61" t="s">
        <v>9</v>
      </c>
      <c r="E1" s="61" t="s">
        <v>6144</v>
      </c>
    </row>
    <row r="2">
      <c r="A2" s="61" t="s">
        <v>5652</v>
      </c>
      <c r="B2" s="158" t="s">
        <v>6108</v>
      </c>
      <c r="C2" s="158" t="s">
        <v>6107</v>
      </c>
      <c r="D2" s="158" t="s">
        <v>6107</v>
      </c>
      <c r="E2" s="158" t="s">
        <v>6107</v>
      </c>
    </row>
    <row r="3">
      <c r="A3" s="61" t="s">
        <v>6160</v>
      </c>
      <c r="B3" s="158" t="s">
        <v>6107</v>
      </c>
      <c r="C3" s="158" t="s">
        <v>6111</v>
      </c>
      <c r="D3" s="158" t="s">
        <v>6111</v>
      </c>
      <c r="E3" s="158" t="s">
        <v>6108</v>
      </c>
    </row>
    <row r="4">
      <c r="A4" s="61" t="s">
        <v>6161</v>
      </c>
      <c r="B4" s="158" t="s">
        <v>6162</v>
      </c>
      <c r="C4" s="158" t="s">
        <v>6114</v>
      </c>
      <c r="D4" s="158" t="s">
        <v>6114</v>
      </c>
      <c r="E4" s="158"/>
    </row>
    <row r="5">
      <c r="B5" s="159"/>
      <c r="C5" s="15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5"/>
    <col customWidth="1" min="2" max="2" width="16.5"/>
    <col customWidth="1" min="3" max="3" width="67.63"/>
    <col customWidth="1" min="4" max="4" width="44.5"/>
    <col customWidth="1" min="5" max="5" width="52.75"/>
    <col customWidth="1" min="6" max="6" width="30.5"/>
    <col customWidth="1" min="7" max="7" width="70.5"/>
  </cols>
  <sheetData>
    <row r="1">
      <c r="A1" s="61" t="s">
        <v>6069</v>
      </c>
      <c r="B1" s="61" t="s">
        <v>6070</v>
      </c>
      <c r="C1" s="61" t="s">
        <v>6071</v>
      </c>
      <c r="D1" s="61" t="s">
        <v>6072</v>
      </c>
      <c r="E1" s="61" t="s">
        <v>6073</v>
      </c>
      <c r="F1" s="61" t="s">
        <v>6074</v>
      </c>
      <c r="G1" s="137" t="s">
        <v>7</v>
      </c>
    </row>
    <row r="2">
      <c r="A2" s="61">
        <v>1.0</v>
      </c>
      <c r="C2" s="61" t="s">
        <v>6075</v>
      </c>
      <c r="G2" s="145"/>
    </row>
    <row r="3">
      <c r="A3" s="61">
        <f>A2+1</f>
        <v>2</v>
      </c>
      <c r="B3" s="61" t="s">
        <v>6076</v>
      </c>
      <c r="C3" s="150"/>
      <c r="D3" s="151" t="s">
        <v>6077</v>
      </c>
      <c r="E3" s="151" t="s">
        <v>1237</v>
      </c>
      <c r="F3" s="61" t="s">
        <v>6078</v>
      </c>
      <c r="G3" s="137" t="s">
        <v>6079</v>
      </c>
    </row>
    <row r="4">
      <c r="B4" s="61" t="s">
        <v>6080</v>
      </c>
      <c r="C4" s="61"/>
      <c r="D4" s="152" t="s">
        <v>6081</v>
      </c>
      <c r="E4" s="153"/>
      <c r="F4" s="154"/>
      <c r="G4" s="155"/>
    </row>
    <row r="5">
      <c r="B5" s="61"/>
      <c r="C5" s="61"/>
      <c r="D5" s="153"/>
      <c r="E5" s="153"/>
      <c r="F5" s="154"/>
      <c r="G5" s="155"/>
    </row>
    <row r="6">
      <c r="A6" s="156">
        <f>A3+1</f>
        <v>3</v>
      </c>
      <c r="B6" s="61" t="s">
        <v>6082</v>
      </c>
      <c r="C6" s="61" t="s">
        <v>6083</v>
      </c>
      <c r="D6" s="153"/>
      <c r="E6" s="153" t="s">
        <v>83</v>
      </c>
      <c r="F6" s="154" t="s">
        <v>6084</v>
      </c>
      <c r="G6" s="155"/>
    </row>
    <row r="7">
      <c r="A7" s="156">
        <f t="shared" ref="A7:A23" si="1">A6+1</f>
        <v>4</v>
      </c>
      <c r="C7" s="61" t="s">
        <v>6085</v>
      </c>
      <c r="D7" s="151"/>
      <c r="E7" s="151" t="s">
        <v>41</v>
      </c>
      <c r="F7" s="154" t="s">
        <v>6086</v>
      </c>
      <c r="G7" s="145"/>
    </row>
    <row r="8">
      <c r="A8" s="156">
        <f t="shared" si="1"/>
        <v>5</v>
      </c>
      <c r="B8" s="61" t="s">
        <v>6087</v>
      </c>
      <c r="C8" s="61" t="s">
        <v>6088</v>
      </c>
      <c r="G8" s="145"/>
    </row>
    <row r="9">
      <c r="A9" s="156">
        <f t="shared" si="1"/>
        <v>6</v>
      </c>
      <c r="B9" s="61" t="s">
        <v>6089</v>
      </c>
      <c r="C9" s="150" t="s">
        <v>6090</v>
      </c>
      <c r="D9" s="157" t="s">
        <v>6091</v>
      </c>
      <c r="G9" s="145"/>
    </row>
    <row r="10">
      <c r="A10" s="156">
        <f t="shared" si="1"/>
        <v>7</v>
      </c>
      <c r="B10" s="61" t="s">
        <v>6092</v>
      </c>
      <c r="C10" s="150" t="s">
        <v>6093</v>
      </c>
      <c r="D10" s="157" t="s">
        <v>6093</v>
      </c>
      <c r="G10" s="145"/>
    </row>
    <row r="11">
      <c r="A11" s="156">
        <f t="shared" si="1"/>
        <v>8</v>
      </c>
      <c r="B11" s="61" t="s">
        <v>6094</v>
      </c>
      <c r="C11" s="150" t="s">
        <v>6095</v>
      </c>
      <c r="D11" s="157" t="s">
        <v>6095</v>
      </c>
      <c r="G11" s="137" t="s">
        <v>6096</v>
      </c>
    </row>
    <row r="12">
      <c r="A12" s="156">
        <f t="shared" si="1"/>
        <v>9</v>
      </c>
      <c r="B12" s="61" t="s">
        <v>6097</v>
      </c>
      <c r="C12" s="61" t="s">
        <v>6098</v>
      </c>
      <c r="G12" s="145"/>
    </row>
    <row r="13">
      <c r="A13" s="156">
        <f t="shared" si="1"/>
        <v>10</v>
      </c>
      <c r="B13" s="61" t="s">
        <v>6099</v>
      </c>
      <c r="C13" s="61" t="s">
        <v>6100</v>
      </c>
      <c r="G13" s="145"/>
    </row>
    <row r="14">
      <c r="A14" s="156">
        <f t="shared" si="1"/>
        <v>11</v>
      </c>
      <c r="B14" s="61" t="s">
        <v>6101</v>
      </c>
      <c r="C14" s="61" t="s">
        <v>6102</v>
      </c>
      <c r="G14" s="145"/>
    </row>
    <row r="15">
      <c r="A15" s="156">
        <f t="shared" si="1"/>
        <v>12</v>
      </c>
      <c r="G15" s="145"/>
    </row>
    <row r="16">
      <c r="A16" s="156">
        <f t="shared" si="1"/>
        <v>13</v>
      </c>
      <c r="G16" s="145"/>
    </row>
    <row r="17">
      <c r="A17" s="156">
        <f t="shared" si="1"/>
        <v>14</v>
      </c>
      <c r="G17" s="145"/>
    </row>
    <row r="18">
      <c r="A18" s="156">
        <f t="shared" si="1"/>
        <v>15</v>
      </c>
      <c r="G18" s="145"/>
    </row>
    <row r="19">
      <c r="A19" s="156">
        <f t="shared" si="1"/>
        <v>16</v>
      </c>
      <c r="G19" s="145"/>
    </row>
    <row r="20">
      <c r="A20" s="156">
        <f t="shared" si="1"/>
        <v>17</v>
      </c>
      <c r="G20" s="145"/>
    </row>
    <row r="21">
      <c r="A21" s="156">
        <f t="shared" si="1"/>
        <v>18</v>
      </c>
      <c r="G21" s="145"/>
    </row>
    <row r="22">
      <c r="A22" s="156">
        <f t="shared" si="1"/>
        <v>19</v>
      </c>
      <c r="G22" s="145"/>
    </row>
    <row r="23">
      <c r="A23" s="156">
        <f t="shared" si="1"/>
        <v>20</v>
      </c>
      <c r="G23" s="145"/>
    </row>
    <row r="24">
      <c r="G24" s="145"/>
    </row>
    <row r="25">
      <c r="G25" s="145"/>
    </row>
    <row r="26">
      <c r="G26" s="145"/>
    </row>
    <row r="27">
      <c r="G27" s="145"/>
    </row>
    <row r="28">
      <c r="G28" s="145"/>
    </row>
    <row r="29">
      <c r="G29" s="145"/>
    </row>
    <row r="30">
      <c r="G30" s="145"/>
    </row>
    <row r="31">
      <c r="G31" s="145"/>
    </row>
    <row r="32">
      <c r="G32" s="145"/>
    </row>
    <row r="33">
      <c r="G33" s="145"/>
    </row>
    <row r="34">
      <c r="G34" s="145"/>
    </row>
    <row r="35">
      <c r="G35" s="145"/>
    </row>
    <row r="36">
      <c r="G36" s="145"/>
    </row>
    <row r="37">
      <c r="G37" s="145"/>
    </row>
    <row r="38">
      <c r="G38" s="145"/>
    </row>
    <row r="39">
      <c r="G39" s="145"/>
    </row>
    <row r="40">
      <c r="G40" s="145"/>
    </row>
    <row r="41">
      <c r="G41" s="145"/>
    </row>
    <row r="42">
      <c r="G42" s="145"/>
    </row>
    <row r="43">
      <c r="G43" s="145"/>
    </row>
    <row r="44">
      <c r="G44" s="145"/>
    </row>
    <row r="45">
      <c r="G45" s="145"/>
    </row>
    <row r="46">
      <c r="G46" s="145"/>
    </row>
    <row r="47">
      <c r="G47" s="145"/>
    </row>
    <row r="48">
      <c r="G48" s="145"/>
    </row>
    <row r="49">
      <c r="G49" s="145"/>
    </row>
    <row r="50">
      <c r="G50" s="145"/>
    </row>
    <row r="51">
      <c r="G51" s="145"/>
    </row>
    <row r="52">
      <c r="G52" s="145"/>
    </row>
    <row r="53">
      <c r="G53" s="145"/>
    </row>
    <row r="54">
      <c r="G54" s="145"/>
    </row>
    <row r="55">
      <c r="G55" s="145"/>
    </row>
    <row r="56">
      <c r="G56" s="145"/>
    </row>
    <row r="57">
      <c r="G57" s="145"/>
    </row>
    <row r="58">
      <c r="G58" s="145"/>
    </row>
    <row r="59">
      <c r="G59" s="145"/>
    </row>
    <row r="60">
      <c r="G60" s="145"/>
    </row>
    <row r="61">
      <c r="G61" s="145"/>
    </row>
    <row r="62">
      <c r="G62" s="145"/>
    </row>
    <row r="63">
      <c r="G63" s="145"/>
    </row>
    <row r="64">
      <c r="G64" s="145"/>
    </row>
    <row r="65">
      <c r="G65" s="145"/>
    </row>
    <row r="66">
      <c r="G66" s="145"/>
    </row>
    <row r="67">
      <c r="G67" s="145"/>
    </row>
    <row r="68">
      <c r="G68" s="145"/>
    </row>
    <row r="69">
      <c r="G69" s="145"/>
    </row>
    <row r="70">
      <c r="G70" s="145"/>
    </row>
    <row r="71">
      <c r="G71" s="145"/>
    </row>
    <row r="72">
      <c r="G72" s="145"/>
    </row>
    <row r="73">
      <c r="G73" s="145"/>
    </row>
    <row r="74">
      <c r="G74" s="145"/>
    </row>
    <row r="75">
      <c r="G75" s="145"/>
    </row>
    <row r="76">
      <c r="G76" s="145"/>
    </row>
    <row r="77">
      <c r="G77" s="145"/>
    </row>
    <row r="78">
      <c r="G78" s="145"/>
    </row>
    <row r="79">
      <c r="G79" s="145"/>
    </row>
    <row r="80">
      <c r="G80" s="145"/>
    </row>
    <row r="81">
      <c r="G81" s="145"/>
    </row>
    <row r="82">
      <c r="G82" s="145"/>
    </row>
    <row r="83">
      <c r="G83" s="145"/>
    </row>
    <row r="84">
      <c r="G84" s="145"/>
    </row>
    <row r="85">
      <c r="G85" s="145"/>
    </row>
    <row r="86">
      <c r="G86" s="145"/>
    </row>
    <row r="87">
      <c r="G87" s="145"/>
    </row>
    <row r="88">
      <c r="G88" s="145"/>
    </row>
    <row r="89">
      <c r="G89" s="145"/>
    </row>
    <row r="90">
      <c r="G90" s="145"/>
    </row>
    <row r="91">
      <c r="G91" s="145"/>
    </row>
    <row r="92">
      <c r="G92" s="145"/>
    </row>
    <row r="93">
      <c r="G93" s="145"/>
    </row>
    <row r="94">
      <c r="G94" s="145"/>
    </row>
    <row r="95">
      <c r="G95" s="145"/>
    </row>
    <row r="96">
      <c r="G96" s="145"/>
    </row>
    <row r="97">
      <c r="G97" s="145"/>
    </row>
    <row r="98">
      <c r="G98" s="145"/>
    </row>
    <row r="99">
      <c r="G99" s="145"/>
    </row>
    <row r="100">
      <c r="G100" s="145"/>
    </row>
    <row r="101">
      <c r="G101" s="145"/>
    </row>
    <row r="102">
      <c r="G102" s="145"/>
    </row>
    <row r="103">
      <c r="G103" s="145"/>
    </row>
    <row r="104">
      <c r="G104" s="145"/>
    </row>
    <row r="105">
      <c r="G105" s="145"/>
    </row>
    <row r="106">
      <c r="G106" s="145"/>
    </row>
    <row r="107">
      <c r="G107" s="145"/>
    </row>
    <row r="108">
      <c r="G108" s="145"/>
    </row>
    <row r="109">
      <c r="G109" s="145"/>
    </row>
    <row r="110">
      <c r="G110" s="145"/>
    </row>
    <row r="111">
      <c r="G111" s="145"/>
    </row>
    <row r="112">
      <c r="G112" s="145"/>
    </row>
    <row r="113">
      <c r="G113" s="145"/>
    </row>
    <row r="114">
      <c r="G114" s="145"/>
    </row>
    <row r="115">
      <c r="G115" s="145"/>
    </row>
    <row r="116">
      <c r="G116" s="145"/>
    </row>
    <row r="117">
      <c r="G117" s="145"/>
    </row>
    <row r="118">
      <c r="G118" s="145"/>
    </row>
    <row r="119">
      <c r="G119" s="145"/>
    </row>
    <row r="120">
      <c r="G120" s="145"/>
    </row>
    <row r="121">
      <c r="G121" s="145"/>
    </row>
    <row r="122">
      <c r="G122" s="145"/>
    </row>
    <row r="123">
      <c r="G123" s="145"/>
    </row>
    <row r="124">
      <c r="G124" s="145"/>
    </row>
    <row r="125">
      <c r="G125" s="145"/>
    </row>
    <row r="126">
      <c r="G126" s="145"/>
    </row>
    <row r="127">
      <c r="G127" s="145"/>
    </row>
    <row r="128">
      <c r="G128" s="145"/>
    </row>
    <row r="129">
      <c r="G129" s="145"/>
    </row>
    <row r="130">
      <c r="G130" s="145"/>
    </row>
    <row r="131">
      <c r="G131" s="145"/>
    </row>
    <row r="132">
      <c r="G132" s="145"/>
    </row>
    <row r="133">
      <c r="G133" s="145"/>
    </row>
    <row r="134">
      <c r="G134" s="145"/>
    </row>
    <row r="135">
      <c r="G135" s="145"/>
    </row>
    <row r="136">
      <c r="G136" s="145"/>
    </row>
    <row r="137">
      <c r="G137" s="145"/>
    </row>
    <row r="138">
      <c r="G138" s="145"/>
    </row>
    <row r="139">
      <c r="G139" s="145"/>
    </row>
    <row r="140">
      <c r="G140" s="145"/>
    </row>
    <row r="141">
      <c r="G141" s="145"/>
    </row>
    <row r="142">
      <c r="G142" s="145"/>
    </row>
    <row r="143">
      <c r="G143" s="145"/>
    </row>
    <row r="144">
      <c r="G144" s="145"/>
    </row>
    <row r="145">
      <c r="G145" s="145"/>
    </row>
    <row r="146">
      <c r="G146" s="145"/>
    </row>
    <row r="147">
      <c r="G147" s="145"/>
    </row>
    <row r="148">
      <c r="G148" s="145"/>
    </row>
    <row r="149">
      <c r="G149" s="145"/>
    </row>
    <row r="150">
      <c r="G150" s="145"/>
    </row>
    <row r="151">
      <c r="G151" s="145"/>
    </row>
    <row r="152">
      <c r="G152" s="145"/>
    </row>
    <row r="153">
      <c r="G153" s="145"/>
    </row>
    <row r="154">
      <c r="G154" s="145"/>
    </row>
    <row r="155">
      <c r="G155" s="145"/>
    </row>
    <row r="156">
      <c r="G156" s="145"/>
    </row>
    <row r="157">
      <c r="G157" s="145"/>
    </row>
    <row r="158">
      <c r="G158" s="145"/>
    </row>
    <row r="159">
      <c r="G159" s="145"/>
    </row>
    <row r="160">
      <c r="G160" s="145"/>
    </row>
    <row r="161">
      <c r="G161" s="145"/>
    </row>
    <row r="162">
      <c r="G162" s="145"/>
    </row>
    <row r="163">
      <c r="G163" s="145"/>
    </row>
    <row r="164">
      <c r="G164" s="145"/>
    </row>
    <row r="165">
      <c r="G165" s="145"/>
    </row>
    <row r="166">
      <c r="G166" s="145"/>
    </row>
    <row r="167">
      <c r="G167" s="145"/>
    </row>
    <row r="168">
      <c r="G168" s="145"/>
    </row>
    <row r="169">
      <c r="G169" s="145"/>
    </row>
    <row r="170">
      <c r="G170" s="145"/>
    </row>
    <row r="171">
      <c r="G171" s="145"/>
    </row>
    <row r="172">
      <c r="G172" s="145"/>
    </row>
    <row r="173">
      <c r="G173" s="145"/>
    </row>
    <row r="174">
      <c r="G174" s="145"/>
    </row>
    <row r="175">
      <c r="G175" s="145"/>
    </row>
    <row r="176">
      <c r="G176" s="145"/>
    </row>
    <row r="177">
      <c r="G177" s="145"/>
    </row>
    <row r="178">
      <c r="G178" s="145"/>
    </row>
    <row r="179">
      <c r="G179" s="145"/>
    </row>
    <row r="180">
      <c r="G180" s="145"/>
    </row>
    <row r="181">
      <c r="G181" s="145"/>
    </row>
    <row r="182">
      <c r="G182" s="145"/>
    </row>
    <row r="183">
      <c r="G183" s="145"/>
    </row>
    <row r="184">
      <c r="G184" s="145"/>
    </row>
    <row r="185">
      <c r="G185" s="145"/>
    </row>
    <row r="186">
      <c r="G186" s="145"/>
    </row>
    <row r="187">
      <c r="G187" s="145"/>
    </row>
    <row r="188">
      <c r="G188" s="145"/>
    </row>
    <row r="189">
      <c r="G189" s="145"/>
    </row>
    <row r="190">
      <c r="G190" s="145"/>
    </row>
    <row r="191">
      <c r="G191" s="145"/>
    </row>
    <row r="192">
      <c r="G192" s="145"/>
    </row>
    <row r="193">
      <c r="G193" s="145"/>
    </row>
    <row r="194">
      <c r="G194" s="145"/>
    </row>
    <row r="195">
      <c r="G195" s="145"/>
    </row>
    <row r="196">
      <c r="G196" s="145"/>
    </row>
    <row r="197">
      <c r="G197" s="145"/>
    </row>
    <row r="198">
      <c r="G198" s="145"/>
    </row>
    <row r="199">
      <c r="G199" s="145"/>
    </row>
    <row r="200">
      <c r="G200" s="145"/>
    </row>
    <row r="201">
      <c r="G201" s="145"/>
    </row>
    <row r="202">
      <c r="G202" s="145"/>
    </row>
    <row r="203">
      <c r="G203" s="145"/>
    </row>
    <row r="204">
      <c r="G204" s="145"/>
    </row>
    <row r="205">
      <c r="G205" s="145"/>
    </row>
    <row r="206">
      <c r="G206" s="145"/>
    </row>
    <row r="207">
      <c r="G207" s="145"/>
    </row>
    <row r="208">
      <c r="G208" s="145"/>
    </row>
    <row r="209">
      <c r="G209" s="145"/>
    </row>
    <row r="210">
      <c r="G210" s="145"/>
    </row>
    <row r="211">
      <c r="G211" s="145"/>
    </row>
    <row r="212">
      <c r="G212" s="145"/>
    </row>
    <row r="213">
      <c r="G213" s="145"/>
    </row>
    <row r="214">
      <c r="G214" s="145"/>
    </row>
    <row r="215">
      <c r="G215" s="145"/>
    </row>
    <row r="216">
      <c r="G216" s="145"/>
    </row>
    <row r="217">
      <c r="G217" s="145"/>
    </row>
    <row r="218">
      <c r="G218" s="145"/>
    </row>
    <row r="219">
      <c r="G219" s="145"/>
    </row>
    <row r="220">
      <c r="G220" s="145"/>
    </row>
    <row r="221">
      <c r="G221" s="145"/>
    </row>
    <row r="222">
      <c r="G222" s="145"/>
    </row>
    <row r="223">
      <c r="G223" s="145"/>
    </row>
    <row r="224">
      <c r="G224" s="145"/>
    </row>
    <row r="225">
      <c r="G225" s="145"/>
    </row>
    <row r="226">
      <c r="G226" s="145"/>
    </row>
    <row r="227">
      <c r="G227" s="145"/>
    </row>
    <row r="228">
      <c r="G228" s="145"/>
    </row>
    <row r="229">
      <c r="G229" s="145"/>
    </row>
    <row r="230">
      <c r="G230" s="145"/>
    </row>
    <row r="231">
      <c r="G231" s="145"/>
    </row>
    <row r="232">
      <c r="G232" s="145"/>
    </row>
    <row r="233">
      <c r="G233" s="145"/>
    </row>
    <row r="234">
      <c r="G234" s="145"/>
    </row>
    <row r="235">
      <c r="G235" s="145"/>
    </row>
    <row r="236">
      <c r="G236" s="145"/>
    </row>
    <row r="237">
      <c r="G237" s="145"/>
    </row>
    <row r="238">
      <c r="G238" s="145"/>
    </row>
    <row r="239">
      <c r="G239" s="145"/>
    </row>
    <row r="240">
      <c r="G240" s="145"/>
    </row>
    <row r="241">
      <c r="G241" s="145"/>
    </row>
    <row r="242">
      <c r="G242" s="145"/>
    </row>
    <row r="243">
      <c r="G243" s="145"/>
    </row>
    <row r="244">
      <c r="G244" s="145"/>
    </row>
    <row r="245">
      <c r="G245" s="145"/>
    </row>
    <row r="246">
      <c r="G246" s="145"/>
    </row>
    <row r="247">
      <c r="G247" s="145"/>
    </row>
    <row r="248">
      <c r="G248" s="145"/>
    </row>
    <row r="249">
      <c r="G249" s="145"/>
    </row>
    <row r="250">
      <c r="G250" s="145"/>
    </row>
    <row r="251">
      <c r="G251" s="145"/>
    </row>
    <row r="252">
      <c r="G252" s="145"/>
    </row>
    <row r="253">
      <c r="G253" s="145"/>
    </row>
    <row r="254">
      <c r="G254" s="145"/>
    </row>
    <row r="255">
      <c r="G255" s="145"/>
    </row>
    <row r="256">
      <c r="G256" s="145"/>
    </row>
    <row r="257">
      <c r="G257" s="145"/>
    </row>
    <row r="258">
      <c r="G258" s="145"/>
    </row>
    <row r="259">
      <c r="G259" s="145"/>
    </row>
    <row r="260">
      <c r="G260" s="145"/>
    </row>
    <row r="261">
      <c r="G261" s="145"/>
    </row>
    <row r="262">
      <c r="G262" s="145"/>
    </row>
    <row r="263">
      <c r="G263" s="145"/>
    </row>
    <row r="264">
      <c r="G264" s="145"/>
    </row>
    <row r="265">
      <c r="G265" s="145"/>
    </row>
    <row r="266">
      <c r="G266" s="145"/>
    </row>
    <row r="267">
      <c r="G267" s="145"/>
    </row>
    <row r="268">
      <c r="G268" s="145"/>
    </row>
    <row r="269">
      <c r="G269" s="145"/>
    </row>
    <row r="270">
      <c r="G270" s="145"/>
    </row>
    <row r="271">
      <c r="G271" s="145"/>
    </row>
    <row r="272">
      <c r="G272" s="145"/>
    </row>
    <row r="273">
      <c r="G273" s="145"/>
    </row>
    <row r="274">
      <c r="G274" s="145"/>
    </row>
    <row r="275">
      <c r="G275" s="145"/>
    </row>
    <row r="276">
      <c r="G276" s="145"/>
    </row>
    <row r="277">
      <c r="G277" s="145"/>
    </row>
    <row r="278">
      <c r="G278" s="145"/>
    </row>
    <row r="279">
      <c r="G279" s="145"/>
    </row>
    <row r="280">
      <c r="G280" s="145"/>
    </row>
    <row r="281">
      <c r="G281" s="145"/>
    </row>
    <row r="282">
      <c r="G282" s="145"/>
    </row>
    <row r="283">
      <c r="G283" s="145"/>
    </row>
    <row r="284">
      <c r="G284" s="145"/>
    </row>
    <row r="285">
      <c r="G285" s="145"/>
    </row>
    <row r="286">
      <c r="G286" s="145"/>
    </row>
    <row r="287">
      <c r="G287" s="145"/>
    </row>
    <row r="288">
      <c r="G288" s="145"/>
    </row>
    <row r="289">
      <c r="G289" s="145"/>
    </row>
    <row r="290">
      <c r="G290" s="145"/>
    </row>
    <row r="291">
      <c r="G291" s="145"/>
    </row>
    <row r="292">
      <c r="G292" s="145"/>
    </row>
    <row r="293">
      <c r="G293" s="145"/>
    </row>
    <row r="294">
      <c r="G294" s="145"/>
    </row>
    <row r="295">
      <c r="G295" s="145"/>
    </row>
    <row r="296">
      <c r="G296" s="145"/>
    </row>
    <row r="297">
      <c r="G297" s="145"/>
    </row>
    <row r="298">
      <c r="G298" s="145"/>
    </row>
    <row r="299">
      <c r="G299" s="145"/>
    </row>
    <row r="300">
      <c r="G300" s="145"/>
    </row>
    <row r="301">
      <c r="G301" s="145"/>
    </row>
    <row r="302">
      <c r="G302" s="145"/>
    </row>
    <row r="303">
      <c r="G303" s="145"/>
    </row>
    <row r="304">
      <c r="G304" s="145"/>
    </row>
    <row r="305">
      <c r="G305" s="145"/>
    </row>
    <row r="306">
      <c r="G306" s="145"/>
    </row>
    <row r="307">
      <c r="G307" s="145"/>
    </row>
    <row r="308">
      <c r="G308" s="145"/>
    </row>
    <row r="309">
      <c r="G309" s="145"/>
    </row>
    <row r="310">
      <c r="G310" s="145"/>
    </row>
    <row r="311">
      <c r="G311" s="145"/>
    </row>
    <row r="312">
      <c r="G312" s="145"/>
    </row>
    <row r="313">
      <c r="G313" s="145"/>
    </row>
    <row r="314">
      <c r="G314" s="145"/>
    </row>
    <row r="315">
      <c r="G315" s="145"/>
    </row>
    <row r="316">
      <c r="G316" s="145"/>
    </row>
    <row r="317">
      <c r="G317" s="145"/>
    </row>
    <row r="318">
      <c r="G318" s="145"/>
    </row>
    <row r="319">
      <c r="G319" s="145"/>
    </row>
    <row r="320">
      <c r="G320" s="145"/>
    </row>
    <row r="321">
      <c r="G321" s="145"/>
    </row>
    <row r="322">
      <c r="G322" s="145"/>
    </row>
    <row r="323">
      <c r="G323" s="145"/>
    </row>
    <row r="324">
      <c r="G324" s="145"/>
    </row>
    <row r="325">
      <c r="G325" s="145"/>
    </row>
    <row r="326">
      <c r="G326" s="145"/>
    </row>
    <row r="327">
      <c r="G327" s="145"/>
    </row>
    <row r="328">
      <c r="G328" s="145"/>
    </row>
    <row r="329">
      <c r="G329" s="145"/>
    </row>
    <row r="330">
      <c r="G330" s="145"/>
    </row>
    <row r="331">
      <c r="G331" s="145"/>
    </row>
    <row r="332">
      <c r="G332" s="145"/>
    </row>
    <row r="333">
      <c r="G333" s="145"/>
    </row>
    <row r="334">
      <c r="G334" s="145"/>
    </row>
    <row r="335">
      <c r="G335" s="145"/>
    </row>
    <row r="336">
      <c r="G336" s="145"/>
    </row>
    <row r="337">
      <c r="G337" s="145"/>
    </row>
    <row r="338">
      <c r="G338" s="145"/>
    </row>
    <row r="339">
      <c r="G339" s="145"/>
    </row>
    <row r="340">
      <c r="G340" s="145"/>
    </row>
    <row r="341">
      <c r="G341" s="145"/>
    </row>
    <row r="342">
      <c r="G342" s="145"/>
    </row>
    <row r="343">
      <c r="G343" s="145"/>
    </row>
    <row r="344">
      <c r="G344" s="145"/>
    </row>
    <row r="345">
      <c r="G345" s="145"/>
    </row>
    <row r="346">
      <c r="G346" s="145"/>
    </row>
    <row r="347">
      <c r="G347" s="145"/>
    </row>
    <row r="348">
      <c r="G348" s="145"/>
    </row>
    <row r="349">
      <c r="G349" s="145"/>
    </row>
    <row r="350">
      <c r="G350" s="145"/>
    </row>
    <row r="351">
      <c r="G351" s="145"/>
    </row>
    <row r="352">
      <c r="G352" s="145"/>
    </row>
    <row r="353">
      <c r="G353" s="145"/>
    </row>
    <row r="354">
      <c r="G354" s="145"/>
    </row>
    <row r="355">
      <c r="G355" s="145"/>
    </row>
    <row r="356">
      <c r="G356" s="145"/>
    </row>
    <row r="357">
      <c r="G357" s="145"/>
    </row>
    <row r="358">
      <c r="G358" s="145"/>
    </row>
    <row r="359">
      <c r="G359" s="145"/>
    </row>
    <row r="360">
      <c r="G360" s="145"/>
    </row>
    <row r="361">
      <c r="G361" s="145"/>
    </row>
    <row r="362">
      <c r="G362" s="145"/>
    </row>
    <row r="363">
      <c r="G363" s="145"/>
    </row>
    <row r="364">
      <c r="G364" s="145"/>
    </row>
    <row r="365">
      <c r="G365" s="145"/>
    </row>
    <row r="366">
      <c r="G366" s="145"/>
    </row>
    <row r="367">
      <c r="G367" s="145"/>
    </row>
    <row r="368">
      <c r="G368" s="145"/>
    </row>
    <row r="369">
      <c r="G369" s="145"/>
    </row>
    <row r="370">
      <c r="G370" s="145"/>
    </row>
    <row r="371">
      <c r="G371" s="145"/>
    </row>
    <row r="372">
      <c r="G372" s="145"/>
    </row>
    <row r="373">
      <c r="G373" s="145"/>
    </row>
    <row r="374">
      <c r="G374" s="145"/>
    </row>
    <row r="375">
      <c r="G375" s="145"/>
    </row>
    <row r="376">
      <c r="G376" s="145"/>
    </row>
    <row r="377">
      <c r="G377" s="145"/>
    </row>
    <row r="378">
      <c r="G378" s="145"/>
    </row>
    <row r="379">
      <c r="G379" s="145"/>
    </row>
    <row r="380">
      <c r="G380" s="145"/>
    </row>
    <row r="381">
      <c r="G381" s="145"/>
    </row>
    <row r="382">
      <c r="G382" s="145"/>
    </row>
    <row r="383">
      <c r="G383" s="145"/>
    </row>
    <row r="384">
      <c r="G384" s="145"/>
    </row>
    <row r="385">
      <c r="G385" s="145"/>
    </row>
    <row r="386">
      <c r="G386" s="145"/>
    </row>
    <row r="387">
      <c r="G387" s="145"/>
    </row>
    <row r="388">
      <c r="G388" s="145"/>
    </row>
    <row r="389">
      <c r="G389" s="145"/>
    </row>
    <row r="390">
      <c r="G390" s="145"/>
    </row>
    <row r="391">
      <c r="G391" s="145"/>
    </row>
    <row r="392">
      <c r="G392" s="145"/>
    </row>
    <row r="393">
      <c r="G393" s="145"/>
    </row>
    <row r="394">
      <c r="G394" s="145"/>
    </row>
    <row r="395">
      <c r="G395" s="145"/>
    </row>
    <row r="396">
      <c r="G396" s="145"/>
    </row>
    <row r="397">
      <c r="G397" s="145"/>
    </row>
    <row r="398">
      <c r="G398" s="145"/>
    </row>
    <row r="399">
      <c r="G399" s="145"/>
    </row>
    <row r="400">
      <c r="G400" s="145"/>
    </row>
    <row r="401">
      <c r="G401" s="145"/>
    </row>
    <row r="402">
      <c r="G402" s="145"/>
    </row>
    <row r="403">
      <c r="G403" s="145"/>
    </row>
    <row r="404">
      <c r="G404" s="145"/>
    </row>
    <row r="405">
      <c r="G405" s="145"/>
    </row>
    <row r="406">
      <c r="G406" s="145"/>
    </row>
    <row r="407">
      <c r="G407" s="145"/>
    </row>
    <row r="408">
      <c r="G408" s="145"/>
    </row>
    <row r="409">
      <c r="G409" s="145"/>
    </row>
    <row r="410">
      <c r="G410" s="145"/>
    </row>
    <row r="411">
      <c r="G411" s="145"/>
    </row>
    <row r="412">
      <c r="G412" s="145"/>
    </row>
    <row r="413">
      <c r="G413" s="145"/>
    </row>
    <row r="414">
      <c r="G414" s="145"/>
    </row>
    <row r="415">
      <c r="G415" s="145"/>
    </row>
    <row r="416">
      <c r="G416" s="145"/>
    </row>
    <row r="417">
      <c r="G417" s="145"/>
    </row>
    <row r="418">
      <c r="G418" s="145"/>
    </row>
    <row r="419">
      <c r="G419" s="145"/>
    </row>
    <row r="420">
      <c r="G420" s="145"/>
    </row>
    <row r="421">
      <c r="G421" s="145"/>
    </row>
    <row r="422">
      <c r="G422" s="145"/>
    </row>
    <row r="423">
      <c r="G423" s="145"/>
    </row>
    <row r="424">
      <c r="G424" s="145"/>
    </row>
    <row r="425">
      <c r="G425" s="145"/>
    </row>
    <row r="426">
      <c r="G426" s="145"/>
    </row>
    <row r="427">
      <c r="G427" s="145"/>
    </row>
    <row r="428">
      <c r="G428" s="145"/>
    </row>
    <row r="429">
      <c r="G429" s="145"/>
    </row>
    <row r="430">
      <c r="G430" s="145"/>
    </row>
    <row r="431">
      <c r="G431" s="145"/>
    </row>
    <row r="432">
      <c r="G432" s="145"/>
    </row>
    <row r="433">
      <c r="G433" s="145"/>
    </row>
    <row r="434">
      <c r="G434" s="145"/>
    </row>
    <row r="435">
      <c r="G435" s="145"/>
    </row>
    <row r="436">
      <c r="G436" s="145"/>
    </row>
    <row r="437">
      <c r="G437" s="145"/>
    </row>
    <row r="438">
      <c r="G438" s="145"/>
    </row>
    <row r="439">
      <c r="G439" s="145"/>
    </row>
    <row r="440">
      <c r="G440" s="145"/>
    </row>
    <row r="441">
      <c r="G441" s="145"/>
    </row>
    <row r="442">
      <c r="G442" s="145"/>
    </row>
    <row r="443">
      <c r="G443" s="145"/>
    </row>
    <row r="444">
      <c r="G444" s="145"/>
    </row>
    <row r="445">
      <c r="G445" s="145"/>
    </row>
    <row r="446">
      <c r="G446" s="145"/>
    </row>
    <row r="447">
      <c r="G447" s="145"/>
    </row>
    <row r="448">
      <c r="G448" s="145"/>
    </row>
    <row r="449">
      <c r="G449" s="145"/>
    </row>
    <row r="450">
      <c r="G450" s="145"/>
    </row>
    <row r="451">
      <c r="G451" s="145"/>
    </row>
    <row r="452">
      <c r="G452" s="145"/>
    </row>
    <row r="453">
      <c r="G453" s="145"/>
    </row>
    <row r="454">
      <c r="G454" s="145"/>
    </row>
    <row r="455">
      <c r="G455" s="145"/>
    </row>
    <row r="456">
      <c r="G456" s="145"/>
    </row>
    <row r="457">
      <c r="G457" s="145"/>
    </row>
    <row r="458">
      <c r="G458" s="145"/>
    </row>
    <row r="459">
      <c r="G459" s="145"/>
    </row>
    <row r="460">
      <c r="G460" s="145"/>
    </row>
    <row r="461">
      <c r="G461" s="145"/>
    </row>
    <row r="462">
      <c r="G462" s="145"/>
    </row>
    <row r="463">
      <c r="G463" s="145"/>
    </row>
    <row r="464">
      <c r="G464" s="145"/>
    </row>
    <row r="465">
      <c r="G465" s="145"/>
    </row>
    <row r="466">
      <c r="G466" s="145"/>
    </row>
    <row r="467">
      <c r="G467" s="145"/>
    </row>
    <row r="468">
      <c r="G468" s="145"/>
    </row>
    <row r="469">
      <c r="G469" s="145"/>
    </row>
    <row r="470">
      <c r="G470" s="145"/>
    </row>
    <row r="471">
      <c r="G471" s="145"/>
    </row>
    <row r="472">
      <c r="G472" s="145"/>
    </row>
    <row r="473">
      <c r="G473" s="145"/>
    </row>
    <row r="474">
      <c r="G474" s="145"/>
    </row>
    <row r="475">
      <c r="G475" s="145"/>
    </row>
    <row r="476">
      <c r="G476" s="145"/>
    </row>
    <row r="477">
      <c r="G477" s="145"/>
    </row>
    <row r="478">
      <c r="G478" s="145"/>
    </row>
    <row r="479">
      <c r="G479" s="145"/>
    </row>
    <row r="480">
      <c r="G480" s="145"/>
    </row>
    <row r="481">
      <c r="G481" s="145"/>
    </row>
    <row r="482">
      <c r="G482" s="145"/>
    </row>
    <row r="483">
      <c r="G483" s="145"/>
    </row>
    <row r="484">
      <c r="G484" s="145"/>
    </row>
    <row r="485">
      <c r="G485" s="145"/>
    </row>
    <row r="486">
      <c r="G486" s="145"/>
    </row>
    <row r="487">
      <c r="G487" s="145"/>
    </row>
    <row r="488">
      <c r="G488" s="145"/>
    </row>
    <row r="489">
      <c r="G489" s="145"/>
    </row>
    <row r="490">
      <c r="G490" s="145"/>
    </row>
    <row r="491">
      <c r="G491" s="145"/>
    </row>
    <row r="492">
      <c r="G492" s="145"/>
    </row>
    <row r="493">
      <c r="G493" s="145"/>
    </row>
    <row r="494">
      <c r="G494" s="145"/>
    </row>
    <row r="495">
      <c r="G495" s="145"/>
    </row>
    <row r="496">
      <c r="G496" s="145"/>
    </row>
    <row r="497">
      <c r="G497" s="145"/>
    </row>
    <row r="498">
      <c r="G498" s="145"/>
    </row>
    <row r="499">
      <c r="G499" s="145"/>
    </row>
    <row r="500">
      <c r="G500" s="145"/>
    </row>
    <row r="501">
      <c r="G501" s="145"/>
    </row>
    <row r="502">
      <c r="G502" s="145"/>
    </row>
    <row r="503">
      <c r="G503" s="145"/>
    </row>
    <row r="504">
      <c r="G504" s="145"/>
    </row>
    <row r="505">
      <c r="G505" s="145"/>
    </row>
    <row r="506">
      <c r="G506" s="145"/>
    </row>
    <row r="507">
      <c r="G507" s="145"/>
    </row>
    <row r="508">
      <c r="G508" s="145"/>
    </row>
    <row r="509">
      <c r="G509" s="145"/>
    </row>
    <row r="510">
      <c r="G510" s="145"/>
    </row>
    <row r="511">
      <c r="G511" s="145"/>
    </row>
    <row r="512">
      <c r="G512" s="145"/>
    </row>
    <row r="513">
      <c r="G513" s="145"/>
    </row>
    <row r="514">
      <c r="G514" s="145"/>
    </row>
    <row r="515">
      <c r="G515" s="145"/>
    </row>
    <row r="516">
      <c r="G516" s="145"/>
    </row>
    <row r="517">
      <c r="G517" s="145"/>
    </row>
    <row r="518">
      <c r="G518" s="145"/>
    </row>
    <row r="519">
      <c r="G519" s="145"/>
    </row>
    <row r="520">
      <c r="G520" s="145"/>
    </row>
    <row r="521">
      <c r="G521" s="145"/>
    </row>
    <row r="522">
      <c r="G522" s="145"/>
    </row>
    <row r="523">
      <c r="G523" s="145"/>
    </row>
    <row r="524">
      <c r="G524" s="145"/>
    </row>
    <row r="525">
      <c r="G525" s="145"/>
    </row>
    <row r="526">
      <c r="G526" s="145"/>
    </row>
    <row r="527">
      <c r="G527" s="145"/>
    </row>
    <row r="528">
      <c r="G528" s="145"/>
    </row>
    <row r="529">
      <c r="G529" s="145"/>
    </row>
    <row r="530">
      <c r="G530" s="145"/>
    </row>
    <row r="531">
      <c r="G531" s="145"/>
    </row>
    <row r="532">
      <c r="G532" s="145"/>
    </row>
    <row r="533">
      <c r="G533" s="145"/>
    </row>
    <row r="534">
      <c r="G534" s="145"/>
    </row>
    <row r="535">
      <c r="G535" s="145"/>
    </row>
    <row r="536">
      <c r="G536" s="145"/>
    </row>
    <row r="537">
      <c r="G537" s="145"/>
    </row>
    <row r="538">
      <c r="G538" s="145"/>
    </row>
    <row r="539">
      <c r="G539" s="145"/>
    </row>
    <row r="540">
      <c r="G540" s="145"/>
    </row>
    <row r="541">
      <c r="G541" s="145"/>
    </row>
    <row r="542">
      <c r="G542" s="145"/>
    </row>
    <row r="543">
      <c r="G543" s="145"/>
    </row>
    <row r="544">
      <c r="G544" s="145"/>
    </row>
    <row r="545">
      <c r="G545" s="145"/>
    </row>
    <row r="546">
      <c r="G546" s="145"/>
    </row>
    <row r="547">
      <c r="G547" s="145"/>
    </row>
    <row r="548">
      <c r="G548" s="145"/>
    </row>
    <row r="549">
      <c r="G549" s="145"/>
    </row>
    <row r="550">
      <c r="G550" s="145"/>
    </row>
    <row r="551">
      <c r="G551" s="145"/>
    </row>
    <row r="552">
      <c r="G552" s="145"/>
    </row>
    <row r="553">
      <c r="G553" s="145"/>
    </row>
    <row r="554">
      <c r="G554" s="145"/>
    </row>
    <row r="555">
      <c r="G555" s="145"/>
    </row>
    <row r="556">
      <c r="G556" s="145"/>
    </row>
    <row r="557">
      <c r="G557" s="145"/>
    </row>
    <row r="558">
      <c r="G558" s="145"/>
    </row>
    <row r="559">
      <c r="G559" s="145"/>
    </row>
    <row r="560">
      <c r="G560" s="145"/>
    </row>
    <row r="561">
      <c r="G561" s="145"/>
    </row>
    <row r="562">
      <c r="G562" s="145"/>
    </row>
    <row r="563">
      <c r="G563" s="145"/>
    </row>
    <row r="564">
      <c r="G564" s="145"/>
    </row>
    <row r="565">
      <c r="G565" s="145"/>
    </row>
    <row r="566">
      <c r="G566" s="145"/>
    </row>
    <row r="567">
      <c r="G567" s="145"/>
    </row>
    <row r="568">
      <c r="G568" s="145"/>
    </row>
    <row r="569">
      <c r="G569" s="145"/>
    </row>
    <row r="570">
      <c r="G570" s="145"/>
    </row>
    <row r="571">
      <c r="G571" s="145"/>
    </row>
    <row r="572">
      <c r="G572" s="145"/>
    </row>
    <row r="573">
      <c r="G573" s="145"/>
    </row>
    <row r="574">
      <c r="G574" s="145"/>
    </row>
    <row r="575">
      <c r="G575" s="145"/>
    </row>
    <row r="576">
      <c r="G576" s="145"/>
    </row>
    <row r="577">
      <c r="G577" s="145"/>
    </row>
    <row r="578">
      <c r="G578" s="145"/>
    </row>
    <row r="579">
      <c r="G579" s="145"/>
    </row>
    <row r="580">
      <c r="G580" s="145"/>
    </row>
    <row r="581">
      <c r="G581" s="145"/>
    </row>
    <row r="582">
      <c r="G582" s="145"/>
    </row>
    <row r="583">
      <c r="G583" s="145"/>
    </row>
    <row r="584">
      <c r="G584" s="145"/>
    </row>
    <row r="585">
      <c r="G585" s="145"/>
    </row>
    <row r="586">
      <c r="G586" s="145"/>
    </row>
    <row r="587">
      <c r="G587" s="145"/>
    </row>
    <row r="588">
      <c r="G588" s="145"/>
    </row>
    <row r="589">
      <c r="G589" s="145"/>
    </row>
    <row r="590">
      <c r="G590" s="145"/>
    </row>
    <row r="591">
      <c r="G591" s="145"/>
    </row>
    <row r="592">
      <c r="G592" s="145"/>
    </row>
    <row r="593">
      <c r="G593" s="145"/>
    </row>
    <row r="594">
      <c r="G594" s="145"/>
    </row>
    <row r="595">
      <c r="G595" s="145"/>
    </row>
    <row r="596">
      <c r="G596" s="145"/>
    </row>
    <row r="597">
      <c r="G597" s="145"/>
    </row>
    <row r="598">
      <c r="G598" s="145"/>
    </row>
    <row r="599">
      <c r="G599" s="145"/>
    </row>
    <row r="600">
      <c r="G600" s="145"/>
    </row>
    <row r="601">
      <c r="G601" s="145"/>
    </row>
    <row r="602">
      <c r="G602" s="145"/>
    </row>
    <row r="603">
      <c r="G603" s="145"/>
    </row>
    <row r="604">
      <c r="G604" s="145"/>
    </row>
    <row r="605">
      <c r="G605" s="145"/>
    </row>
    <row r="606">
      <c r="G606" s="145"/>
    </row>
    <row r="607">
      <c r="G607" s="145"/>
    </row>
    <row r="608">
      <c r="G608" s="145"/>
    </row>
    <row r="609">
      <c r="G609" s="145"/>
    </row>
    <row r="610">
      <c r="G610" s="145"/>
    </row>
    <row r="611">
      <c r="G611" s="145"/>
    </row>
    <row r="612">
      <c r="G612" s="145"/>
    </row>
    <row r="613">
      <c r="G613" s="145"/>
    </row>
    <row r="614">
      <c r="G614" s="145"/>
    </row>
    <row r="615">
      <c r="G615" s="145"/>
    </row>
    <row r="616">
      <c r="G616" s="145"/>
    </row>
    <row r="617">
      <c r="G617" s="145"/>
    </row>
    <row r="618">
      <c r="G618" s="145"/>
    </row>
    <row r="619">
      <c r="G619" s="145"/>
    </row>
    <row r="620">
      <c r="G620" s="145"/>
    </row>
    <row r="621">
      <c r="G621" s="145"/>
    </row>
    <row r="622">
      <c r="G622" s="145"/>
    </row>
    <row r="623">
      <c r="G623" s="145"/>
    </row>
    <row r="624">
      <c r="G624" s="145"/>
    </row>
    <row r="625">
      <c r="G625" s="145"/>
    </row>
    <row r="626">
      <c r="G626" s="145"/>
    </row>
    <row r="627">
      <c r="G627" s="145"/>
    </row>
    <row r="628">
      <c r="G628" s="145"/>
    </row>
    <row r="629">
      <c r="G629" s="145"/>
    </row>
    <row r="630">
      <c r="G630" s="145"/>
    </row>
    <row r="631">
      <c r="G631" s="145"/>
    </row>
    <row r="632">
      <c r="G632" s="145"/>
    </row>
    <row r="633">
      <c r="G633" s="145"/>
    </row>
    <row r="634">
      <c r="G634" s="145"/>
    </row>
    <row r="635">
      <c r="G635" s="145"/>
    </row>
    <row r="636">
      <c r="G636" s="145"/>
    </row>
    <row r="637">
      <c r="G637" s="145"/>
    </row>
    <row r="638">
      <c r="G638" s="145"/>
    </row>
    <row r="639">
      <c r="G639" s="145"/>
    </row>
    <row r="640">
      <c r="G640" s="145"/>
    </row>
    <row r="641">
      <c r="G641" s="145"/>
    </row>
    <row r="642">
      <c r="G642" s="145"/>
    </row>
    <row r="643">
      <c r="G643" s="145"/>
    </row>
    <row r="644">
      <c r="G644" s="145"/>
    </row>
    <row r="645">
      <c r="G645" s="145"/>
    </row>
    <row r="646">
      <c r="G646" s="145"/>
    </row>
    <row r="647">
      <c r="G647" s="145"/>
    </row>
    <row r="648">
      <c r="G648" s="145"/>
    </row>
    <row r="649">
      <c r="G649" s="145"/>
    </row>
    <row r="650">
      <c r="G650" s="145"/>
    </row>
    <row r="651">
      <c r="G651" s="145"/>
    </row>
    <row r="652">
      <c r="G652" s="145"/>
    </row>
    <row r="653">
      <c r="G653" s="145"/>
    </row>
    <row r="654">
      <c r="G654" s="145"/>
    </row>
    <row r="655">
      <c r="G655" s="145"/>
    </row>
    <row r="656">
      <c r="G656" s="145"/>
    </row>
    <row r="657">
      <c r="G657" s="145"/>
    </row>
    <row r="658">
      <c r="G658" s="145"/>
    </row>
    <row r="659">
      <c r="G659" s="145"/>
    </row>
    <row r="660">
      <c r="G660" s="145"/>
    </row>
    <row r="661">
      <c r="G661" s="145"/>
    </row>
    <row r="662">
      <c r="G662" s="145"/>
    </row>
    <row r="663">
      <c r="G663" s="145"/>
    </row>
    <row r="664">
      <c r="G664" s="145"/>
    </row>
    <row r="665">
      <c r="G665" s="145"/>
    </row>
    <row r="666">
      <c r="G666" s="145"/>
    </row>
    <row r="667">
      <c r="G667" s="145"/>
    </row>
    <row r="668">
      <c r="G668" s="145"/>
    </row>
    <row r="669">
      <c r="G669" s="145"/>
    </row>
    <row r="670">
      <c r="G670" s="145"/>
    </row>
    <row r="671">
      <c r="G671" s="145"/>
    </row>
    <row r="672">
      <c r="G672" s="145"/>
    </row>
    <row r="673">
      <c r="G673" s="145"/>
    </row>
    <row r="674">
      <c r="G674" s="145"/>
    </row>
    <row r="675">
      <c r="G675" s="145"/>
    </row>
    <row r="676">
      <c r="G676" s="145"/>
    </row>
    <row r="677">
      <c r="G677" s="145"/>
    </row>
    <row r="678">
      <c r="G678" s="145"/>
    </row>
    <row r="679">
      <c r="G679" s="145"/>
    </row>
    <row r="680">
      <c r="G680" s="145"/>
    </row>
    <row r="681">
      <c r="G681" s="145"/>
    </row>
    <row r="682">
      <c r="G682" s="145"/>
    </row>
    <row r="683">
      <c r="G683" s="145"/>
    </row>
    <row r="684">
      <c r="G684" s="145"/>
    </row>
    <row r="685">
      <c r="G685" s="145"/>
    </row>
    <row r="686">
      <c r="G686" s="145"/>
    </row>
    <row r="687">
      <c r="G687" s="145"/>
    </row>
    <row r="688">
      <c r="G688" s="145"/>
    </row>
    <row r="689">
      <c r="G689" s="145"/>
    </row>
    <row r="690">
      <c r="G690" s="145"/>
    </row>
    <row r="691">
      <c r="G691" s="145"/>
    </row>
    <row r="692">
      <c r="G692" s="145"/>
    </row>
    <row r="693">
      <c r="G693" s="145"/>
    </row>
    <row r="694">
      <c r="G694" s="145"/>
    </row>
    <row r="695">
      <c r="G695" s="145"/>
    </row>
    <row r="696">
      <c r="G696" s="145"/>
    </row>
    <row r="697">
      <c r="G697" s="145"/>
    </row>
    <row r="698">
      <c r="G698" s="145"/>
    </row>
    <row r="699">
      <c r="G699" s="145"/>
    </row>
    <row r="700">
      <c r="G700" s="145"/>
    </row>
    <row r="701">
      <c r="G701" s="145"/>
    </row>
    <row r="702">
      <c r="G702" s="145"/>
    </row>
    <row r="703">
      <c r="G703" s="145"/>
    </row>
    <row r="704">
      <c r="G704" s="145"/>
    </row>
    <row r="705">
      <c r="G705" s="145"/>
    </row>
    <row r="706">
      <c r="G706" s="145"/>
    </row>
    <row r="707">
      <c r="G707" s="145"/>
    </row>
    <row r="708">
      <c r="G708" s="145"/>
    </row>
    <row r="709">
      <c r="G709" s="145"/>
    </row>
    <row r="710">
      <c r="G710" s="145"/>
    </row>
    <row r="711">
      <c r="G711" s="145"/>
    </row>
    <row r="712">
      <c r="G712" s="145"/>
    </row>
    <row r="713">
      <c r="G713" s="145"/>
    </row>
    <row r="714">
      <c r="G714" s="145"/>
    </row>
    <row r="715">
      <c r="G715" s="145"/>
    </row>
    <row r="716">
      <c r="G716" s="145"/>
    </row>
    <row r="717">
      <c r="G717" s="145"/>
    </row>
    <row r="718">
      <c r="G718" s="145"/>
    </row>
    <row r="719">
      <c r="G719" s="145"/>
    </row>
    <row r="720">
      <c r="G720" s="145"/>
    </row>
    <row r="721">
      <c r="G721" s="145"/>
    </row>
    <row r="722">
      <c r="G722" s="145"/>
    </row>
    <row r="723">
      <c r="G723" s="145"/>
    </row>
    <row r="724">
      <c r="G724" s="145"/>
    </row>
    <row r="725">
      <c r="G725" s="145"/>
    </row>
    <row r="726">
      <c r="G726" s="145"/>
    </row>
    <row r="727">
      <c r="G727" s="145"/>
    </row>
    <row r="728">
      <c r="G728" s="145"/>
    </row>
    <row r="729">
      <c r="G729" s="145"/>
    </row>
    <row r="730">
      <c r="G730" s="145"/>
    </row>
    <row r="731">
      <c r="G731" s="145"/>
    </row>
    <row r="732">
      <c r="G732" s="145"/>
    </row>
    <row r="733">
      <c r="G733" s="145"/>
    </row>
    <row r="734">
      <c r="G734" s="145"/>
    </row>
    <row r="735">
      <c r="G735" s="145"/>
    </row>
    <row r="736">
      <c r="G736" s="145"/>
    </row>
    <row r="737">
      <c r="G737" s="145"/>
    </row>
    <row r="738">
      <c r="G738" s="145"/>
    </row>
    <row r="739">
      <c r="G739" s="145"/>
    </row>
    <row r="740">
      <c r="G740" s="145"/>
    </row>
    <row r="741">
      <c r="G741" s="145"/>
    </row>
    <row r="742">
      <c r="G742" s="145"/>
    </row>
    <row r="743">
      <c r="G743" s="145"/>
    </row>
    <row r="744">
      <c r="G744" s="145"/>
    </row>
    <row r="745">
      <c r="G745" s="145"/>
    </row>
    <row r="746">
      <c r="G746" s="145"/>
    </row>
    <row r="747">
      <c r="G747" s="145"/>
    </row>
    <row r="748">
      <c r="G748" s="145"/>
    </row>
    <row r="749">
      <c r="G749" s="145"/>
    </row>
    <row r="750">
      <c r="G750" s="145"/>
    </row>
    <row r="751">
      <c r="G751" s="145"/>
    </row>
    <row r="752">
      <c r="G752" s="145"/>
    </row>
    <row r="753">
      <c r="G753" s="145"/>
    </row>
    <row r="754">
      <c r="G754" s="145"/>
    </row>
    <row r="755">
      <c r="G755" s="145"/>
    </row>
    <row r="756">
      <c r="G756" s="145"/>
    </row>
    <row r="757">
      <c r="G757" s="145"/>
    </row>
    <row r="758">
      <c r="G758" s="145"/>
    </row>
    <row r="759">
      <c r="G759" s="145"/>
    </row>
    <row r="760">
      <c r="G760" s="145"/>
    </row>
    <row r="761">
      <c r="G761" s="145"/>
    </row>
    <row r="762">
      <c r="G762" s="145"/>
    </row>
    <row r="763">
      <c r="G763" s="145"/>
    </row>
    <row r="764">
      <c r="G764" s="145"/>
    </row>
    <row r="765">
      <c r="G765" s="145"/>
    </row>
    <row r="766">
      <c r="G766" s="145"/>
    </row>
    <row r="767">
      <c r="G767" s="145"/>
    </row>
    <row r="768">
      <c r="G768" s="145"/>
    </row>
    <row r="769">
      <c r="G769" s="145"/>
    </row>
    <row r="770">
      <c r="G770" s="145"/>
    </row>
    <row r="771">
      <c r="G771" s="145"/>
    </row>
    <row r="772">
      <c r="G772" s="145"/>
    </row>
    <row r="773">
      <c r="G773" s="145"/>
    </row>
    <row r="774">
      <c r="G774" s="145"/>
    </row>
    <row r="775">
      <c r="G775" s="145"/>
    </row>
    <row r="776">
      <c r="G776" s="145"/>
    </row>
    <row r="777">
      <c r="G777" s="145"/>
    </row>
    <row r="778">
      <c r="G778" s="145"/>
    </row>
    <row r="779">
      <c r="G779" s="145"/>
    </row>
    <row r="780">
      <c r="G780" s="145"/>
    </row>
    <row r="781">
      <c r="G781" s="145"/>
    </row>
    <row r="782">
      <c r="G782" s="145"/>
    </row>
    <row r="783">
      <c r="G783" s="145"/>
    </row>
    <row r="784">
      <c r="G784" s="145"/>
    </row>
    <row r="785">
      <c r="G785" s="145"/>
    </row>
    <row r="786">
      <c r="G786" s="145"/>
    </row>
    <row r="787">
      <c r="G787" s="145"/>
    </row>
    <row r="788">
      <c r="G788" s="145"/>
    </row>
    <row r="789">
      <c r="G789" s="145"/>
    </row>
    <row r="790">
      <c r="G790" s="145"/>
    </row>
    <row r="791">
      <c r="G791" s="145"/>
    </row>
    <row r="792">
      <c r="G792" s="145"/>
    </row>
    <row r="793">
      <c r="G793" s="145"/>
    </row>
    <row r="794">
      <c r="G794" s="145"/>
    </row>
    <row r="795">
      <c r="G795" s="145"/>
    </row>
    <row r="796">
      <c r="G796" s="145"/>
    </row>
    <row r="797">
      <c r="G797" s="145"/>
    </row>
    <row r="798">
      <c r="G798" s="145"/>
    </row>
    <row r="799">
      <c r="G799" s="145"/>
    </row>
    <row r="800">
      <c r="G800" s="145"/>
    </row>
    <row r="801">
      <c r="G801" s="145"/>
    </row>
    <row r="802">
      <c r="G802" s="145"/>
    </row>
    <row r="803">
      <c r="G803" s="145"/>
    </row>
    <row r="804">
      <c r="G804" s="145"/>
    </row>
    <row r="805">
      <c r="G805" s="145"/>
    </row>
    <row r="806">
      <c r="G806" s="145"/>
    </row>
    <row r="807">
      <c r="G807" s="145"/>
    </row>
    <row r="808">
      <c r="G808" s="145"/>
    </row>
    <row r="809">
      <c r="G809" s="145"/>
    </row>
    <row r="810">
      <c r="G810" s="145"/>
    </row>
    <row r="811">
      <c r="G811" s="145"/>
    </row>
    <row r="812">
      <c r="G812" s="145"/>
    </row>
    <row r="813">
      <c r="G813" s="145"/>
    </row>
    <row r="814">
      <c r="G814" s="145"/>
    </row>
    <row r="815">
      <c r="G815" s="145"/>
    </row>
    <row r="816">
      <c r="G816" s="145"/>
    </row>
    <row r="817">
      <c r="G817" s="145"/>
    </row>
    <row r="818">
      <c r="G818" s="145"/>
    </row>
    <row r="819">
      <c r="G819" s="145"/>
    </row>
    <row r="820">
      <c r="G820" s="145"/>
    </row>
    <row r="821">
      <c r="G821" s="145"/>
    </row>
    <row r="822">
      <c r="G822" s="145"/>
    </row>
    <row r="823">
      <c r="G823" s="145"/>
    </row>
    <row r="824">
      <c r="G824" s="145"/>
    </row>
    <row r="825">
      <c r="G825" s="145"/>
    </row>
    <row r="826">
      <c r="G826" s="145"/>
    </row>
    <row r="827">
      <c r="G827" s="145"/>
    </row>
    <row r="828">
      <c r="G828" s="145"/>
    </row>
    <row r="829">
      <c r="G829" s="145"/>
    </row>
    <row r="830">
      <c r="G830" s="145"/>
    </row>
    <row r="831">
      <c r="G831" s="145"/>
    </row>
    <row r="832">
      <c r="G832" s="145"/>
    </row>
    <row r="833">
      <c r="G833" s="145"/>
    </row>
    <row r="834">
      <c r="G834" s="145"/>
    </row>
    <row r="835">
      <c r="G835" s="145"/>
    </row>
    <row r="836">
      <c r="G836" s="145"/>
    </row>
    <row r="837">
      <c r="G837" s="145"/>
    </row>
    <row r="838">
      <c r="G838" s="145"/>
    </row>
    <row r="839">
      <c r="G839" s="145"/>
    </row>
    <row r="840">
      <c r="G840" s="145"/>
    </row>
    <row r="841">
      <c r="G841" s="145"/>
    </row>
    <row r="842">
      <c r="G842" s="145"/>
    </row>
    <row r="843">
      <c r="G843" s="145"/>
    </row>
    <row r="844">
      <c r="G844" s="145"/>
    </row>
    <row r="845">
      <c r="G845" s="145"/>
    </row>
    <row r="846">
      <c r="G846" s="145"/>
    </row>
    <row r="847">
      <c r="G847" s="145"/>
    </row>
    <row r="848">
      <c r="G848" s="145"/>
    </row>
    <row r="849">
      <c r="G849" s="145"/>
    </row>
    <row r="850">
      <c r="G850" s="145"/>
    </row>
    <row r="851">
      <c r="G851" s="145"/>
    </row>
    <row r="852">
      <c r="G852" s="145"/>
    </row>
    <row r="853">
      <c r="G853" s="145"/>
    </row>
    <row r="854">
      <c r="G854" s="145"/>
    </row>
    <row r="855">
      <c r="G855" s="145"/>
    </row>
    <row r="856">
      <c r="G856" s="145"/>
    </row>
    <row r="857">
      <c r="G857" s="145"/>
    </row>
    <row r="858">
      <c r="G858" s="145"/>
    </row>
    <row r="859">
      <c r="G859" s="145"/>
    </row>
    <row r="860">
      <c r="G860" s="145"/>
    </row>
    <row r="861">
      <c r="G861" s="145"/>
    </row>
    <row r="862">
      <c r="G862" s="145"/>
    </row>
    <row r="863">
      <c r="G863" s="145"/>
    </row>
    <row r="864">
      <c r="G864" s="145"/>
    </row>
    <row r="865">
      <c r="G865" s="145"/>
    </row>
    <row r="866">
      <c r="G866" s="145"/>
    </row>
    <row r="867">
      <c r="G867" s="145"/>
    </row>
    <row r="868">
      <c r="G868" s="145"/>
    </row>
    <row r="869">
      <c r="G869" s="145"/>
    </row>
    <row r="870">
      <c r="G870" s="145"/>
    </row>
    <row r="871">
      <c r="G871" s="145"/>
    </row>
    <row r="872">
      <c r="G872" s="145"/>
    </row>
    <row r="873">
      <c r="G873" s="145"/>
    </row>
    <row r="874">
      <c r="G874" s="145"/>
    </row>
    <row r="875">
      <c r="G875" s="145"/>
    </row>
    <row r="876">
      <c r="G876" s="145"/>
    </row>
    <row r="877">
      <c r="G877" s="145"/>
    </row>
    <row r="878">
      <c r="G878" s="145"/>
    </row>
    <row r="879">
      <c r="G879" s="145"/>
    </row>
    <row r="880">
      <c r="G880" s="145"/>
    </row>
    <row r="881">
      <c r="G881" s="145"/>
    </row>
    <row r="882">
      <c r="G882" s="145"/>
    </row>
    <row r="883">
      <c r="G883" s="145"/>
    </row>
    <row r="884">
      <c r="G884" s="145"/>
    </row>
    <row r="885">
      <c r="G885" s="145"/>
    </row>
    <row r="886">
      <c r="G886" s="145"/>
    </row>
    <row r="887">
      <c r="G887" s="145"/>
    </row>
    <row r="888">
      <c r="G888" s="145"/>
    </row>
    <row r="889">
      <c r="G889" s="145"/>
    </row>
    <row r="890">
      <c r="G890" s="145"/>
    </row>
    <row r="891">
      <c r="G891" s="145"/>
    </row>
    <row r="892">
      <c r="G892" s="145"/>
    </row>
    <row r="893">
      <c r="G893" s="145"/>
    </row>
    <row r="894">
      <c r="G894" s="145"/>
    </row>
    <row r="895">
      <c r="G895" s="145"/>
    </row>
    <row r="896">
      <c r="G896" s="145"/>
    </row>
    <row r="897">
      <c r="G897" s="145"/>
    </row>
    <row r="898">
      <c r="G898" s="145"/>
    </row>
    <row r="899">
      <c r="G899" s="145"/>
    </row>
    <row r="900">
      <c r="G900" s="145"/>
    </row>
    <row r="901">
      <c r="G901" s="145"/>
    </row>
    <row r="902">
      <c r="G902" s="145"/>
    </row>
    <row r="903">
      <c r="G903" s="145"/>
    </row>
    <row r="904">
      <c r="G904" s="145"/>
    </row>
    <row r="905">
      <c r="G905" s="145"/>
    </row>
    <row r="906">
      <c r="G906" s="145"/>
    </row>
    <row r="907">
      <c r="G907" s="145"/>
    </row>
    <row r="908">
      <c r="G908" s="145"/>
    </row>
    <row r="909">
      <c r="G909" s="145"/>
    </row>
    <row r="910">
      <c r="G910" s="145"/>
    </row>
    <row r="911">
      <c r="G911" s="145"/>
    </row>
    <row r="912">
      <c r="G912" s="145"/>
    </row>
    <row r="913">
      <c r="G913" s="145"/>
    </row>
    <row r="914">
      <c r="G914" s="145"/>
    </row>
    <row r="915">
      <c r="G915" s="145"/>
    </row>
    <row r="916">
      <c r="G916" s="145"/>
    </row>
    <row r="917">
      <c r="G917" s="145"/>
    </row>
    <row r="918">
      <c r="G918" s="145"/>
    </row>
    <row r="919">
      <c r="G919" s="145"/>
    </row>
    <row r="920">
      <c r="G920" s="145"/>
    </row>
    <row r="921">
      <c r="G921" s="145"/>
    </row>
    <row r="922">
      <c r="G922" s="145"/>
    </row>
    <row r="923">
      <c r="G923" s="145"/>
    </row>
    <row r="924">
      <c r="G924" s="145"/>
    </row>
    <row r="925">
      <c r="G925" s="145"/>
    </row>
    <row r="926">
      <c r="G926" s="145"/>
    </row>
    <row r="927">
      <c r="G927" s="145"/>
    </row>
    <row r="928">
      <c r="G928" s="145"/>
    </row>
    <row r="929">
      <c r="G929" s="145"/>
    </row>
    <row r="930">
      <c r="G930" s="145"/>
    </row>
    <row r="931">
      <c r="G931" s="145"/>
    </row>
    <row r="932">
      <c r="G932" s="145"/>
    </row>
    <row r="933">
      <c r="G933" s="145"/>
    </row>
    <row r="934">
      <c r="G934" s="145"/>
    </row>
    <row r="935">
      <c r="G935" s="145"/>
    </row>
    <row r="936">
      <c r="G936" s="145"/>
    </row>
    <row r="937">
      <c r="G937" s="145"/>
    </row>
    <row r="938">
      <c r="G938" s="145"/>
    </row>
    <row r="939">
      <c r="G939" s="145"/>
    </row>
    <row r="940">
      <c r="G940" s="145"/>
    </row>
    <row r="941">
      <c r="G941" s="145"/>
    </row>
    <row r="942">
      <c r="G942" s="145"/>
    </row>
    <row r="943">
      <c r="G943" s="145"/>
    </row>
    <row r="944">
      <c r="G944" s="145"/>
    </row>
    <row r="945">
      <c r="G945" s="145"/>
    </row>
    <row r="946">
      <c r="G946" s="145"/>
    </row>
    <row r="947">
      <c r="G947" s="145"/>
    </row>
    <row r="948">
      <c r="G948" s="145"/>
    </row>
    <row r="949">
      <c r="G949" s="145"/>
    </row>
    <row r="950">
      <c r="G950" s="145"/>
    </row>
    <row r="951">
      <c r="G951" s="145"/>
    </row>
    <row r="952">
      <c r="G952" s="145"/>
    </row>
    <row r="953">
      <c r="G953" s="145"/>
    </row>
    <row r="954">
      <c r="G954" s="145"/>
    </row>
    <row r="955">
      <c r="G955" s="145"/>
    </row>
    <row r="956">
      <c r="G956" s="145"/>
    </row>
    <row r="957">
      <c r="G957" s="145"/>
    </row>
    <row r="958">
      <c r="G958" s="145"/>
    </row>
    <row r="959">
      <c r="G959" s="145"/>
    </row>
    <row r="960">
      <c r="G960" s="145"/>
    </row>
    <row r="961">
      <c r="G961" s="145"/>
    </row>
    <row r="962">
      <c r="G962" s="145"/>
    </row>
    <row r="963">
      <c r="G963" s="145"/>
    </row>
    <row r="964">
      <c r="G964" s="145"/>
    </row>
    <row r="965">
      <c r="G965" s="145"/>
    </row>
    <row r="966">
      <c r="G966" s="145"/>
    </row>
    <row r="967">
      <c r="G967" s="145"/>
    </row>
    <row r="968">
      <c r="G968" s="145"/>
    </row>
    <row r="969">
      <c r="G969" s="145"/>
    </row>
    <row r="970">
      <c r="G970" s="145"/>
    </row>
    <row r="971">
      <c r="G971" s="145"/>
    </row>
    <row r="972">
      <c r="G972" s="145"/>
    </row>
    <row r="973">
      <c r="G973" s="145"/>
    </row>
    <row r="974">
      <c r="G974" s="145"/>
    </row>
    <row r="975">
      <c r="G975" s="145"/>
    </row>
    <row r="976">
      <c r="G976" s="145"/>
    </row>
    <row r="977">
      <c r="G977" s="145"/>
    </row>
    <row r="978">
      <c r="G978" s="145"/>
    </row>
    <row r="979">
      <c r="G979" s="145"/>
    </row>
    <row r="980">
      <c r="G980" s="145"/>
    </row>
    <row r="981">
      <c r="G981" s="145"/>
    </row>
    <row r="982">
      <c r="G982" s="145"/>
    </row>
    <row r="983">
      <c r="G983" s="145"/>
    </row>
    <row r="984">
      <c r="G984" s="145"/>
    </row>
    <row r="985">
      <c r="G985" s="145"/>
    </row>
    <row r="986">
      <c r="G986" s="145"/>
    </row>
    <row r="987">
      <c r="G987" s="145"/>
    </row>
    <row r="988">
      <c r="G988" s="145"/>
    </row>
    <row r="989">
      <c r="G989" s="145"/>
    </row>
    <row r="990">
      <c r="G990" s="145"/>
    </row>
    <row r="991">
      <c r="G991" s="145"/>
    </row>
    <row r="992">
      <c r="G992" s="145"/>
    </row>
    <row r="993">
      <c r="G993" s="145"/>
    </row>
    <row r="994">
      <c r="G994" s="145"/>
    </row>
    <row r="995">
      <c r="G995" s="145"/>
    </row>
    <row r="996">
      <c r="G996" s="145"/>
    </row>
    <row r="997">
      <c r="G997" s="145"/>
    </row>
    <row r="998">
      <c r="G998" s="145"/>
    </row>
    <row r="999">
      <c r="G999" s="145"/>
    </row>
    <row r="1000">
      <c r="G1000" s="145"/>
    </row>
    <row r="1001">
      <c r="G1001" s="145"/>
    </row>
    <row r="1002">
      <c r="G1002" s="145"/>
    </row>
    <row r="1003">
      <c r="G1003" s="145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6163</v>
      </c>
      <c r="B2" s="158" t="s">
        <v>6107</v>
      </c>
      <c r="C2" s="158" t="s">
        <v>6107</v>
      </c>
    </row>
    <row r="3">
      <c r="A3" s="61" t="s">
        <v>6164</v>
      </c>
      <c r="B3" s="158" t="s">
        <v>6111</v>
      </c>
      <c r="C3" s="158" t="s">
        <v>6111</v>
      </c>
    </row>
    <row r="4">
      <c r="A4" s="61" t="s">
        <v>6165</v>
      </c>
      <c r="B4" s="158" t="s">
        <v>6114</v>
      </c>
      <c r="C4" s="158" t="s">
        <v>6114</v>
      </c>
    </row>
    <row r="5">
      <c r="B5" s="15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25"/>
  </cols>
  <sheetData>
    <row r="1">
      <c r="A1" s="61" t="s">
        <v>6103</v>
      </c>
      <c r="B1" s="158" t="s">
        <v>6104</v>
      </c>
      <c r="C1" s="158" t="s">
        <v>8</v>
      </c>
      <c r="D1" s="61" t="s">
        <v>9</v>
      </c>
    </row>
    <row r="2">
      <c r="A2" s="61" t="s">
        <v>6166</v>
      </c>
      <c r="B2" s="158" t="s">
        <v>6107</v>
      </c>
      <c r="C2" s="158" t="s">
        <v>6107</v>
      </c>
      <c r="D2" s="158" t="s">
        <v>6107</v>
      </c>
    </row>
    <row r="3">
      <c r="A3" s="61" t="s">
        <v>6167</v>
      </c>
      <c r="B3" s="158" t="s">
        <v>6111</v>
      </c>
      <c r="C3" s="158" t="s">
        <v>6111</v>
      </c>
      <c r="D3" s="158" t="s">
        <v>6111</v>
      </c>
    </row>
    <row r="4">
      <c r="A4" s="61" t="s">
        <v>6168</v>
      </c>
      <c r="B4" s="158" t="s">
        <v>6114</v>
      </c>
      <c r="C4" s="158" t="s">
        <v>6114</v>
      </c>
      <c r="D4" s="158" t="s">
        <v>6114</v>
      </c>
    </row>
    <row r="5">
      <c r="A5" s="61" t="s">
        <v>6169</v>
      </c>
      <c r="B5" s="158" t="s">
        <v>6129</v>
      </c>
      <c r="C5" s="158" t="s">
        <v>6129</v>
      </c>
      <c r="D5" s="158" t="s">
        <v>6129</v>
      </c>
    </row>
    <row r="6">
      <c r="A6" s="61" t="s">
        <v>6170</v>
      </c>
      <c r="B6" s="158" t="s">
        <v>6171</v>
      </c>
      <c r="C6" s="158" t="s">
        <v>6171</v>
      </c>
      <c r="D6" s="158" t="s">
        <v>6171</v>
      </c>
    </row>
    <row r="7">
      <c r="A7" s="61" t="s">
        <v>6172</v>
      </c>
      <c r="B7" s="158" t="s">
        <v>6173</v>
      </c>
      <c r="C7" s="158" t="s">
        <v>6173</v>
      </c>
      <c r="D7" s="158" t="s">
        <v>6173</v>
      </c>
    </row>
    <row r="8">
      <c r="A8" s="61" t="s">
        <v>6174</v>
      </c>
      <c r="B8" s="158" t="s">
        <v>6175</v>
      </c>
      <c r="C8" s="158" t="s">
        <v>6175</v>
      </c>
      <c r="D8" s="158" t="s">
        <v>6175</v>
      </c>
    </row>
    <row r="9">
      <c r="A9" s="61" t="s">
        <v>6165</v>
      </c>
      <c r="B9" s="158"/>
      <c r="C9" s="158" t="s">
        <v>6176</v>
      </c>
      <c r="D9" s="158" t="s">
        <v>6176</v>
      </c>
    </row>
    <row r="10">
      <c r="B10" s="159"/>
      <c r="C10" s="159"/>
    </row>
    <row r="11">
      <c r="B11" s="159"/>
      <c r="C11" s="159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75"/>
  </cols>
  <sheetData>
    <row r="1">
      <c r="A1" s="61" t="s">
        <v>6103</v>
      </c>
      <c r="B1" s="158" t="s">
        <v>6104</v>
      </c>
      <c r="C1" s="158" t="s">
        <v>8</v>
      </c>
      <c r="D1" s="61" t="s">
        <v>9</v>
      </c>
      <c r="E1" s="158" t="s">
        <v>6177</v>
      </c>
      <c r="F1" s="61" t="s">
        <v>6178</v>
      </c>
    </row>
    <row r="2">
      <c r="A2" s="61" t="s">
        <v>5661</v>
      </c>
      <c r="B2" s="158" t="s">
        <v>6107</v>
      </c>
      <c r="C2" s="158"/>
      <c r="D2" s="158" t="s">
        <v>6107</v>
      </c>
      <c r="E2" s="158" t="s">
        <v>6107</v>
      </c>
      <c r="F2" s="158" t="s">
        <v>6107</v>
      </c>
    </row>
    <row r="3">
      <c r="A3" s="61" t="s">
        <v>6179</v>
      </c>
      <c r="B3" s="158" t="s">
        <v>6111</v>
      </c>
      <c r="C3" s="158"/>
      <c r="D3" s="158" t="s">
        <v>6114</v>
      </c>
      <c r="E3" s="158" t="s">
        <v>6111</v>
      </c>
      <c r="F3" s="158" t="s">
        <v>6111</v>
      </c>
    </row>
    <row r="4">
      <c r="A4" s="61" t="s">
        <v>6180</v>
      </c>
      <c r="B4" s="158" t="s">
        <v>6108</v>
      </c>
      <c r="C4" s="158"/>
      <c r="D4" s="158" t="s">
        <v>6171</v>
      </c>
      <c r="E4" s="158" t="s">
        <v>6129</v>
      </c>
      <c r="F4" s="158" t="s">
        <v>6129</v>
      </c>
    </row>
    <row r="5">
      <c r="A5" s="61" t="s">
        <v>6165</v>
      </c>
      <c r="B5" s="158"/>
      <c r="C5" s="158"/>
      <c r="D5" s="158" t="s">
        <v>6173</v>
      </c>
      <c r="E5" s="158" t="s">
        <v>6171</v>
      </c>
      <c r="F5" s="158" t="s">
        <v>6171</v>
      </c>
    </row>
    <row r="6">
      <c r="A6" s="61" t="s">
        <v>2567</v>
      </c>
      <c r="B6" s="158" t="s">
        <v>6107</v>
      </c>
      <c r="C6" s="158"/>
      <c r="D6" s="158" t="s">
        <v>6181</v>
      </c>
      <c r="E6" s="158"/>
      <c r="F6" s="158"/>
    </row>
    <row r="7">
      <c r="A7" s="61" t="s">
        <v>6182</v>
      </c>
      <c r="B7" s="158" t="s">
        <v>6111</v>
      </c>
      <c r="C7" s="159"/>
      <c r="E7" s="158" t="s">
        <v>6114</v>
      </c>
      <c r="F7" s="158" t="s">
        <v>6114</v>
      </c>
    </row>
    <row r="8">
      <c r="B8" s="159"/>
      <c r="C8" s="159"/>
      <c r="E8" s="159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6183</v>
      </c>
      <c r="B2" s="158" t="s">
        <v>6107</v>
      </c>
      <c r="C2" s="158" t="s">
        <v>6107</v>
      </c>
    </row>
    <row r="3">
      <c r="A3" s="61" t="s">
        <v>6184</v>
      </c>
      <c r="B3" s="158" t="s">
        <v>6111</v>
      </c>
      <c r="C3" s="158" t="s">
        <v>6111</v>
      </c>
    </row>
    <row r="4">
      <c r="A4" s="61" t="s">
        <v>6185</v>
      </c>
      <c r="B4" s="158" t="s">
        <v>6114</v>
      </c>
      <c r="C4" s="158" t="s">
        <v>6114</v>
      </c>
    </row>
    <row r="5">
      <c r="A5" s="61" t="s">
        <v>6186</v>
      </c>
      <c r="B5" s="158" t="s">
        <v>6129</v>
      </c>
      <c r="C5" s="158" t="s">
        <v>6129</v>
      </c>
    </row>
    <row r="6">
      <c r="A6" s="61" t="s">
        <v>6187</v>
      </c>
      <c r="B6" s="158" t="s">
        <v>6171</v>
      </c>
      <c r="C6" s="158" t="s">
        <v>6171</v>
      </c>
    </row>
    <row r="7">
      <c r="A7" s="61" t="s">
        <v>6188</v>
      </c>
      <c r="B7" s="158" t="s">
        <v>6173</v>
      </c>
      <c r="C7" s="158" t="s">
        <v>6173</v>
      </c>
    </row>
    <row r="8">
      <c r="A8" s="61" t="s">
        <v>6189</v>
      </c>
      <c r="B8" s="158" t="s">
        <v>6175</v>
      </c>
      <c r="C8" s="158" t="s">
        <v>6175</v>
      </c>
    </row>
    <row r="9">
      <c r="B9" s="158"/>
      <c r="C9" s="158"/>
    </row>
    <row r="10">
      <c r="B10" s="159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6190</v>
      </c>
      <c r="B2" s="158" t="s">
        <v>6107</v>
      </c>
      <c r="C2" s="158" t="s">
        <v>6107</v>
      </c>
    </row>
    <row r="3">
      <c r="A3" s="61" t="s">
        <v>6191</v>
      </c>
      <c r="B3" s="158" t="s">
        <v>6111</v>
      </c>
      <c r="C3" s="158" t="s">
        <v>6111</v>
      </c>
    </row>
    <row r="4">
      <c r="A4" s="61" t="s">
        <v>6192</v>
      </c>
      <c r="B4" s="158" t="s">
        <v>6114</v>
      </c>
      <c r="C4" s="158" t="s">
        <v>6114</v>
      </c>
    </row>
    <row r="5">
      <c r="A5" s="61" t="s">
        <v>6193</v>
      </c>
      <c r="B5" s="158" t="s">
        <v>6129</v>
      </c>
      <c r="C5" s="158" t="s">
        <v>6129</v>
      </c>
    </row>
    <row r="6">
      <c r="A6" s="61" t="s">
        <v>6165</v>
      </c>
      <c r="B6" s="158" t="s">
        <v>6173</v>
      </c>
      <c r="C6" s="158" t="s">
        <v>6173</v>
      </c>
    </row>
    <row r="7">
      <c r="B7" s="158"/>
      <c r="C7" s="158"/>
    </row>
    <row r="8">
      <c r="B8" s="158"/>
      <c r="C8" s="158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13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6194</v>
      </c>
      <c r="B2" s="158" t="s">
        <v>6107</v>
      </c>
      <c r="C2" s="158" t="s">
        <v>6107</v>
      </c>
    </row>
    <row r="3">
      <c r="A3" s="61" t="s">
        <v>6195</v>
      </c>
      <c r="B3" s="158" t="s">
        <v>6111</v>
      </c>
      <c r="C3" s="158" t="s">
        <v>6111</v>
      </c>
    </row>
    <row r="4">
      <c r="A4" s="61" t="s">
        <v>6196</v>
      </c>
      <c r="B4" s="158" t="s">
        <v>6114</v>
      </c>
      <c r="C4" s="158" t="s">
        <v>6114</v>
      </c>
    </row>
    <row r="5">
      <c r="A5" s="61" t="s">
        <v>6197</v>
      </c>
      <c r="B5" s="158" t="s">
        <v>6129</v>
      </c>
      <c r="C5" s="158" t="s">
        <v>6129</v>
      </c>
    </row>
    <row r="6">
      <c r="A6" s="61" t="s">
        <v>6198</v>
      </c>
      <c r="B6" s="158" t="s">
        <v>6171</v>
      </c>
      <c r="C6" s="158" t="s">
        <v>6171</v>
      </c>
    </row>
    <row r="7">
      <c r="A7" s="61" t="s">
        <v>6199</v>
      </c>
      <c r="B7" s="158" t="s">
        <v>6173</v>
      </c>
      <c r="C7" s="158" t="s">
        <v>6173</v>
      </c>
    </row>
    <row r="8">
      <c r="A8" s="61" t="s">
        <v>6165</v>
      </c>
      <c r="B8" s="158" t="s">
        <v>6175</v>
      </c>
      <c r="C8" s="158" t="s">
        <v>6175</v>
      </c>
    </row>
    <row r="9">
      <c r="B9" s="158"/>
      <c r="C9" s="158"/>
    </row>
    <row r="10">
      <c r="B10" s="159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6104</v>
      </c>
      <c r="C1" s="158" t="s">
        <v>8</v>
      </c>
      <c r="D1" s="61" t="s">
        <v>9</v>
      </c>
    </row>
    <row r="2">
      <c r="A2" s="61" t="s">
        <v>6200</v>
      </c>
      <c r="B2" s="158" t="s">
        <v>6107</v>
      </c>
      <c r="C2" s="158" t="s">
        <v>6107</v>
      </c>
      <c r="D2" s="158" t="s">
        <v>6107</v>
      </c>
    </row>
    <row r="3">
      <c r="A3" s="61" t="s">
        <v>6201</v>
      </c>
      <c r="B3" s="158" t="s">
        <v>6111</v>
      </c>
      <c r="C3" s="158" t="s">
        <v>6111</v>
      </c>
      <c r="D3" s="158" t="s">
        <v>6111</v>
      </c>
    </row>
    <row r="4">
      <c r="A4" s="61" t="s">
        <v>6202</v>
      </c>
      <c r="B4" s="158" t="s">
        <v>6114</v>
      </c>
      <c r="C4" s="158" t="s">
        <v>6114</v>
      </c>
      <c r="D4" s="158" t="s">
        <v>6114</v>
      </c>
    </row>
    <row r="5">
      <c r="A5" s="61" t="s">
        <v>6203</v>
      </c>
      <c r="B5" s="158" t="s">
        <v>6129</v>
      </c>
      <c r="C5" s="158" t="s">
        <v>6129</v>
      </c>
      <c r="D5" s="158" t="s">
        <v>6129</v>
      </c>
    </row>
    <row r="6">
      <c r="A6" s="61" t="s">
        <v>6204</v>
      </c>
      <c r="B6" s="158" t="s">
        <v>6171</v>
      </c>
      <c r="C6" s="158" t="s">
        <v>6171</v>
      </c>
      <c r="D6" s="158" t="s">
        <v>6171</v>
      </c>
    </row>
    <row r="7">
      <c r="A7" s="61"/>
      <c r="B7" s="158"/>
      <c r="C7" s="158"/>
      <c r="D7" s="158"/>
    </row>
    <row r="8">
      <c r="A8" s="61"/>
      <c r="B8" s="158"/>
      <c r="C8" s="158"/>
      <c r="D8" s="158"/>
    </row>
    <row r="9">
      <c r="A9" s="61"/>
      <c r="B9" s="158"/>
      <c r="C9" s="158"/>
      <c r="D9" s="158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6205</v>
      </c>
      <c r="B2" s="158" t="s">
        <v>6107</v>
      </c>
      <c r="C2" s="158" t="s">
        <v>6107</v>
      </c>
    </row>
    <row r="3">
      <c r="A3" s="61" t="s">
        <v>6206</v>
      </c>
      <c r="B3" s="158" t="s">
        <v>6111</v>
      </c>
      <c r="C3" s="158" t="s">
        <v>6111</v>
      </c>
    </row>
    <row r="4">
      <c r="A4" s="61" t="s">
        <v>6207</v>
      </c>
      <c r="B4" s="158" t="s">
        <v>6114</v>
      </c>
      <c r="C4" s="158" t="s">
        <v>6114</v>
      </c>
    </row>
    <row r="5">
      <c r="B5" s="158"/>
      <c r="C5" s="158"/>
    </row>
    <row r="6">
      <c r="B6" s="158"/>
      <c r="C6" s="158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13"/>
    <col customWidth="1" min="2" max="2" width="3.13"/>
    <col customWidth="1" min="3" max="3" width="3.5"/>
  </cols>
  <sheetData>
    <row r="1">
      <c r="A1" s="61" t="s">
        <v>6103</v>
      </c>
      <c r="B1" s="158" t="s">
        <v>8</v>
      </c>
      <c r="C1" s="61" t="s">
        <v>9</v>
      </c>
    </row>
    <row r="2">
      <c r="A2" s="61" t="s">
        <v>6205</v>
      </c>
      <c r="B2" s="158" t="s">
        <v>6107</v>
      </c>
      <c r="C2" s="158" t="s">
        <v>6107</v>
      </c>
    </row>
    <row r="3">
      <c r="A3" s="61" t="s">
        <v>6205</v>
      </c>
      <c r="B3" s="158"/>
      <c r="C3" s="158" t="s">
        <v>6208</v>
      </c>
    </row>
    <row r="4">
      <c r="A4" s="61" t="s">
        <v>6206</v>
      </c>
      <c r="B4" s="158" t="s">
        <v>6111</v>
      </c>
      <c r="C4" s="158" t="s">
        <v>6111</v>
      </c>
    </row>
    <row r="5">
      <c r="A5" s="61" t="s">
        <v>6206</v>
      </c>
      <c r="B5" s="158"/>
      <c r="C5" s="158" t="s">
        <v>6209</v>
      </c>
    </row>
    <row r="6">
      <c r="A6" s="61" t="s">
        <v>6210</v>
      </c>
      <c r="B6" s="158" t="s">
        <v>6114</v>
      </c>
      <c r="C6" s="158" t="s">
        <v>6114</v>
      </c>
    </row>
    <row r="7">
      <c r="A7" s="61" t="s">
        <v>6210</v>
      </c>
      <c r="B7" s="158"/>
      <c r="C7" s="158" t="s">
        <v>6211</v>
      </c>
    </row>
    <row r="8">
      <c r="B8" s="158"/>
      <c r="C8" s="15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0"/>
    <col customWidth="1" min="2" max="2" width="5.88"/>
    <col customWidth="1" hidden="1" min="3" max="3" width="15.88"/>
    <col hidden="1" min="5" max="6" width="12.63"/>
  </cols>
  <sheetData>
    <row r="1">
      <c r="A1" s="61" t="s">
        <v>6103</v>
      </c>
      <c r="B1" s="61" t="s">
        <v>8</v>
      </c>
      <c r="D1" s="61" t="s">
        <v>9</v>
      </c>
      <c r="E1" s="61" t="s">
        <v>6212</v>
      </c>
      <c r="F1" s="61" t="s">
        <v>6213</v>
      </c>
    </row>
    <row r="2">
      <c r="A2" s="160" t="s">
        <v>6214</v>
      </c>
      <c r="B2" s="160" t="s">
        <v>6215</v>
      </c>
      <c r="C2" s="167" t="s">
        <v>6214</v>
      </c>
      <c r="D2" s="160" t="s">
        <v>6215</v>
      </c>
      <c r="E2" s="166" t="b">
        <f t="shared" ref="E2:F2" si="1">eq(C2,A2)</f>
        <v>1</v>
      </c>
      <c r="F2" s="166" t="b">
        <f t="shared" si="1"/>
        <v>1</v>
      </c>
    </row>
    <row r="3">
      <c r="A3" s="163" t="s">
        <v>6216</v>
      </c>
      <c r="B3" s="163" t="s">
        <v>6217</v>
      </c>
      <c r="C3" s="168" t="s">
        <v>6216</v>
      </c>
      <c r="D3" s="163" t="s">
        <v>6217</v>
      </c>
      <c r="E3" s="166" t="b">
        <f t="shared" ref="E3:F3" si="2">eq(C3,A3)</f>
        <v>1</v>
      </c>
      <c r="F3" s="166" t="b">
        <f t="shared" si="2"/>
        <v>1</v>
      </c>
    </row>
    <row r="4">
      <c r="A4" s="163" t="s">
        <v>6218</v>
      </c>
      <c r="B4" s="163" t="s">
        <v>6219</v>
      </c>
      <c r="C4" s="168" t="s">
        <v>6218</v>
      </c>
      <c r="D4" s="163" t="s">
        <v>6219</v>
      </c>
      <c r="E4" s="166" t="b">
        <f t="shared" ref="E4:F4" si="3">eq(C4,A4)</f>
        <v>1</v>
      </c>
      <c r="F4" s="166" t="b">
        <f t="shared" si="3"/>
        <v>1</v>
      </c>
    </row>
    <row r="5">
      <c r="A5" s="163" t="s">
        <v>6220</v>
      </c>
      <c r="B5" s="163" t="s">
        <v>6221</v>
      </c>
      <c r="C5" s="168" t="s">
        <v>6220</v>
      </c>
      <c r="D5" s="163" t="s">
        <v>6221</v>
      </c>
      <c r="E5" s="166" t="b">
        <f t="shared" ref="E5:F5" si="4">eq(C5,A5)</f>
        <v>1</v>
      </c>
      <c r="F5" s="166" t="b">
        <f t="shared" si="4"/>
        <v>1</v>
      </c>
    </row>
    <row r="6">
      <c r="A6" s="163" t="s">
        <v>6222</v>
      </c>
      <c r="B6" s="163" t="s">
        <v>6223</v>
      </c>
      <c r="C6" s="168" t="s">
        <v>6222</v>
      </c>
      <c r="D6" s="163" t="s">
        <v>6223</v>
      </c>
      <c r="E6" s="166" t="b">
        <f t="shared" ref="E6:F6" si="5">eq(C6,A6)</f>
        <v>1</v>
      </c>
      <c r="F6" s="166" t="b">
        <f t="shared" si="5"/>
        <v>1</v>
      </c>
    </row>
    <row r="7">
      <c r="A7" s="163" t="s">
        <v>6224</v>
      </c>
      <c r="B7" s="163" t="s">
        <v>6225</v>
      </c>
      <c r="C7" s="168" t="s">
        <v>6224</v>
      </c>
      <c r="D7" s="163" t="s">
        <v>6225</v>
      </c>
      <c r="E7" s="166" t="b">
        <f t="shared" ref="E7:F7" si="6">eq(C7,A7)</f>
        <v>1</v>
      </c>
      <c r="F7" s="166" t="b">
        <f t="shared" si="6"/>
        <v>1</v>
      </c>
    </row>
    <row r="8">
      <c r="A8" s="163" t="s">
        <v>6226</v>
      </c>
      <c r="B8" s="163" t="s">
        <v>6227</v>
      </c>
      <c r="C8" s="168" t="s">
        <v>6226</v>
      </c>
      <c r="D8" s="163" t="s">
        <v>6227</v>
      </c>
      <c r="E8" s="166" t="b">
        <f t="shared" ref="E8:F8" si="7">eq(C8,A8)</f>
        <v>1</v>
      </c>
      <c r="F8" s="166" t="b">
        <f t="shared" si="7"/>
        <v>1</v>
      </c>
    </row>
    <row r="9">
      <c r="A9" s="163" t="s">
        <v>6228</v>
      </c>
      <c r="B9" s="163" t="s">
        <v>6229</v>
      </c>
      <c r="C9" s="168" t="s">
        <v>6228</v>
      </c>
      <c r="D9" s="163" t="s">
        <v>6229</v>
      </c>
      <c r="E9" s="166" t="b">
        <f t="shared" ref="E9:F9" si="8">eq(C9,A9)</f>
        <v>1</v>
      </c>
      <c r="F9" s="166" t="b">
        <f t="shared" si="8"/>
        <v>1</v>
      </c>
    </row>
    <row r="10">
      <c r="A10" s="163" t="s">
        <v>6230</v>
      </c>
      <c r="B10" s="163" t="s">
        <v>6231</v>
      </c>
      <c r="C10" s="168" t="s">
        <v>6230</v>
      </c>
      <c r="D10" s="163" t="s">
        <v>6231</v>
      </c>
      <c r="E10" s="166" t="b">
        <f t="shared" ref="E10:F10" si="9">eq(C10,A10)</f>
        <v>1</v>
      </c>
      <c r="F10" s="166" t="b">
        <f t="shared" si="9"/>
        <v>1</v>
      </c>
    </row>
    <row r="11">
      <c r="A11" s="163" t="s">
        <v>6232</v>
      </c>
      <c r="B11" s="163" t="s">
        <v>6233</v>
      </c>
      <c r="C11" s="168" t="s">
        <v>6232</v>
      </c>
      <c r="D11" s="163" t="s">
        <v>6233</v>
      </c>
      <c r="E11" s="166" t="b">
        <f t="shared" ref="E11:F11" si="10">eq(C11,A11)</f>
        <v>1</v>
      </c>
      <c r="F11" s="166" t="b">
        <f t="shared" si="10"/>
        <v>1</v>
      </c>
    </row>
    <row r="12">
      <c r="A12" s="163" t="s">
        <v>6234</v>
      </c>
      <c r="B12" s="163" t="s">
        <v>6235</v>
      </c>
      <c r="C12" s="168" t="s">
        <v>6234</v>
      </c>
      <c r="D12" s="163" t="s">
        <v>6235</v>
      </c>
      <c r="E12" s="166" t="b">
        <f t="shared" ref="E12:F12" si="11">eq(C12,A12)</f>
        <v>1</v>
      </c>
      <c r="F12" s="166" t="b">
        <f t="shared" si="11"/>
        <v>1</v>
      </c>
    </row>
    <row r="13">
      <c r="A13" s="163" t="s">
        <v>6236</v>
      </c>
      <c r="B13" s="163" t="s">
        <v>6237</v>
      </c>
      <c r="C13" s="168" t="s">
        <v>6236</v>
      </c>
      <c r="D13" s="163" t="s">
        <v>6237</v>
      </c>
      <c r="E13" s="166" t="b">
        <f t="shared" ref="E13:F13" si="12">eq(C13,A13)</f>
        <v>1</v>
      </c>
      <c r="F13" s="166" t="b">
        <f t="shared" si="12"/>
        <v>1</v>
      </c>
    </row>
    <row r="14">
      <c r="A14" s="163" t="s">
        <v>6238</v>
      </c>
      <c r="B14" s="163" t="s">
        <v>6239</v>
      </c>
      <c r="C14" s="168" t="s">
        <v>6238</v>
      </c>
      <c r="D14" s="163" t="s">
        <v>6239</v>
      </c>
      <c r="E14" s="166" t="b">
        <f t="shared" ref="E14:F14" si="13">eq(C14,A14)</f>
        <v>1</v>
      </c>
      <c r="F14" s="166" t="b">
        <f t="shared" si="13"/>
        <v>1</v>
      </c>
    </row>
    <row r="15">
      <c r="A15" s="163" t="s">
        <v>6240</v>
      </c>
      <c r="B15" s="163" t="s">
        <v>6241</v>
      </c>
      <c r="C15" s="168" t="s">
        <v>6240</v>
      </c>
      <c r="D15" s="163" t="s">
        <v>6241</v>
      </c>
      <c r="E15" s="166" t="b">
        <f t="shared" ref="E15:F15" si="14">eq(C15,A15)</f>
        <v>1</v>
      </c>
      <c r="F15" s="166" t="b">
        <f t="shared" si="14"/>
        <v>1</v>
      </c>
    </row>
    <row r="16">
      <c r="A16" s="163" t="s">
        <v>6242</v>
      </c>
      <c r="B16" s="163" t="s">
        <v>6243</v>
      </c>
      <c r="C16" s="168" t="s">
        <v>6242</v>
      </c>
      <c r="D16" s="163" t="s">
        <v>6243</v>
      </c>
      <c r="E16" s="166" t="b">
        <f t="shared" ref="E16:F16" si="15">eq(C16,A16)</f>
        <v>1</v>
      </c>
      <c r="F16" s="166" t="b">
        <f t="shared" si="15"/>
        <v>1</v>
      </c>
    </row>
    <row r="17">
      <c r="A17" s="163" t="s">
        <v>6244</v>
      </c>
      <c r="B17" s="163" t="s">
        <v>6245</v>
      </c>
      <c r="C17" s="168" t="s">
        <v>6244</v>
      </c>
      <c r="D17" s="163" t="s">
        <v>6245</v>
      </c>
      <c r="E17" s="166" t="b">
        <f t="shared" ref="E17:F17" si="16">eq(C17,A17)</f>
        <v>1</v>
      </c>
      <c r="F17" s="166" t="b">
        <f t="shared" si="16"/>
        <v>1</v>
      </c>
    </row>
    <row r="18">
      <c r="A18" s="163" t="s">
        <v>6246</v>
      </c>
      <c r="B18" s="163" t="s">
        <v>6247</v>
      </c>
      <c r="C18" s="168" t="s">
        <v>6246</v>
      </c>
      <c r="D18" s="163" t="s">
        <v>6247</v>
      </c>
      <c r="E18" s="166" t="b">
        <f t="shared" ref="E18:F18" si="17">eq(C18,A18)</f>
        <v>1</v>
      </c>
      <c r="F18" s="166" t="b">
        <f t="shared" si="17"/>
        <v>1</v>
      </c>
    </row>
    <row r="19">
      <c r="A19" s="163" t="s">
        <v>6248</v>
      </c>
      <c r="B19" s="163" t="s">
        <v>6249</v>
      </c>
      <c r="C19" s="168" t="s">
        <v>6248</v>
      </c>
      <c r="D19" s="163" t="s">
        <v>6249</v>
      </c>
      <c r="E19" s="166" t="b">
        <f t="shared" ref="E19:F19" si="18">eq(C19,A19)</f>
        <v>1</v>
      </c>
      <c r="F19" s="166" t="b">
        <f t="shared" si="18"/>
        <v>1</v>
      </c>
    </row>
    <row r="20">
      <c r="A20" s="163" t="s">
        <v>6250</v>
      </c>
      <c r="B20" s="163" t="s">
        <v>6251</v>
      </c>
      <c r="C20" s="168" t="s">
        <v>6250</v>
      </c>
      <c r="D20" s="163" t="s">
        <v>6251</v>
      </c>
      <c r="E20" s="166" t="b">
        <f t="shared" ref="E20:F20" si="19">eq(C20,A20)</f>
        <v>1</v>
      </c>
      <c r="F20" s="166" t="b">
        <f t="shared" si="19"/>
        <v>1</v>
      </c>
    </row>
    <row r="21">
      <c r="A21" s="163" t="s">
        <v>6252</v>
      </c>
      <c r="B21" s="163" t="s">
        <v>6253</v>
      </c>
      <c r="C21" s="168" t="s">
        <v>6252</v>
      </c>
      <c r="D21" s="163" t="s">
        <v>6253</v>
      </c>
      <c r="E21" s="166" t="b">
        <f t="shared" ref="E21:F21" si="20">eq(C21,A21)</f>
        <v>1</v>
      </c>
      <c r="F21" s="166" t="b">
        <f t="shared" si="20"/>
        <v>1</v>
      </c>
    </row>
    <row r="22">
      <c r="A22" s="163" t="s">
        <v>6254</v>
      </c>
      <c r="B22" s="163" t="s">
        <v>6255</v>
      </c>
      <c r="C22" s="168" t="s">
        <v>6254</v>
      </c>
      <c r="D22" s="163" t="s">
        <v>6255</v>
      </c>
      <c r="E22" s="166" t="b">
        <f t="shared" ref="E22:F22" si="21">eq(C22,A22)</f>
        <v>1</v>
      </c>
      <c r="F22" s="166" t="b">
        <f t="shared" si="21"/>
        <v>1</v>
      </c>
    </row>
    <row r="23">
      <c r="A23" s="163" t="s">
        <v>6256</v>
      </c>
      <c r="B23" s="163" t="s">
        <v>6257</v>
      </c>
      <c r="C23" s="168" t="s">
        <v>6256</v>
      </c>
      <c r="D23" s="163" t="s">
        <v>6257</v>
      </c>
      <c r="E23" s="166" t="b">
        <f t="shared" ref="E23:F23" si="22">eq(C23,A23)</f>
        <v>1</v>
      </c>
      <c r="F23" s="166" t="b">
        <f t="shared" si="22"/>
        <v>1</v>
      </c>
    </row>
    <row r="24">
      <c r="A24" s="163" t="s">
        <v>6258</v>
      </c>
      <c r="B24" s="163" t="s">
        <v>6259</v>
      </c>
      <c r="C24" s="168" t="s">
        <v>6258</v>
      </c>
      <c r="D24" s="163" t="s">
        <v>6259</v>
      </c>
      <c r="E24" s="166" t="b">
        <f t="shared" ref="E24:F24" si="23">eq(C24,A24)</f>
        <v>1</v>
      </c>
      <c r="F24" s="166" t="b">
        <f t="shared" si="23"/>
        <v>1</v>
      </c>
    </row>
    <row r="25">
      <c r="A25" s="163" t="s">
        <v>6260</v>
      </c>
      <c r="B25" s="163" t="s">
        <v>6261</v>
      </c>
      <c r="C25" s="168" t="s">
        <v>6260</v>
      </c>
      <c r="D25" s="163" t="s">
        <v>6261</v>
      </c>
      <c r="E25" s="166" t="b">
        <f t="shared" ref="E25:F25" si="24">eq(C25,A25)</f>
        <v>1</v>
      </c>
      <c r="F25" s="166" t="b">
        <f t="shared" si="24"/>
        <v>1</v>
      </c>
    </row>
    <row r="26">
      <c r="A26" s="163" t="s">
        <v>6262</v>
      </c>
      <c r="B26" s="163" t="s">
        <v>6263</v>
      </c>
      <c r="C26" s="168" t="s">
        <v>6262</v>
      </c>
      <c r="D26" s="163" t="s">
        <v>6263</v>
      </c>
      <c r="E26" s="166" t="b">
        <f t="shared" ref="E26:F26" si="25">eq(C26,A26)</f>
        <v>1</v>
      </c>
      <c r="F26" s="166" t="b">
        <f t="shared" si="25"/>
        <v>1</v>
      </c>
    </row>
    <row r="27">
      <c r="A27" s="163" t="s">
        <v>6264</v>
      </c>
      <c r="B27" s="163" t="s">
        <v>6265</v>
      </c>
      <c r="C27" s="168" t="s">
        <v>6264</v>
      </c>
      <c r="D27" s="163" t="s">
        <v>6265</v>
      </c>
      <c r="E27" s="166" t="b">
        <f t="shared" ref="E27:F27" si="26">eq(C27,A27)</f>
        <v>1</v>
      </c>
      <c r="F27" s="166" t="b">
        <f t="shared" si="26"/>
        <v>1</v>
      </c>
    </row>
    <row r="28">
      <c r="A28" s="163" t="s">
        <v>6266</v>
      </c>
      <c r="B28" s="163" t="s">
        <v>6267</v>
      </c>
      <c r="C28" s="168" t="s">
        <v>6266</v>
      </c>
      <c r="D28" s="163" t="s">
        <v>6267</v>
      </c>
      <c r="E28" s="166" t="b">
        <f t="shared" ref="E28:F28" si="27">eq(C28,A28)</f>
        <v>1</v>
      </c>
      <c r="F28" s="166" t="b">
        <f t="shared" si="27"/>
        <v>1</v>
      </c>
    </row>
    <row r="29">
      <c r="A29" s="163" t="s">
        <v>6268</v>
      </c>
      <c r="B29" s="163" t="s">
        <v>6269</v>
      </c>
      <c r="C29" s="168" t="s">
        <v>6268</v>
      </c>
      <c r="D29" s="163" t="s">
        <v>6269</v>
      </c>
      <c r="E29" s="166" t="b">
        <f t="shared" ref="E29:F29" si="28">eq(C29,A29)</f>
        <v>1</v>
      </c>
      <c r="F29" s="166" t="b">
        <f t="shared" si="28"/>
        <v>1</v>
      </c>
    </row>
    <row r="30">
      <c r="A30" s="163" t="s">
        <v>6270</v>
      </c>
      <c r="B30" s="163" t="s">
        <v>6271</v>
      </c>
      <c r="C30" s="168" t="s">
        <v>6270</v>
      </c>
      <c r="D30" s="163" t="s">
        <v>6271</v>
      </c>
      <c r="E30" s="166" t="b">
        <f t="shared" ref="E30:F30" si="29">eq(C30,A30)</f>
        <v>1</v>
      </c>
      <c r="F30" s="166" t="b">
        <f t="shared" si="29"/>
        <v>1</v>
      </c>
    </row>
    <row r="31">
      <c r="A31" s="163" t="s">
        <v>6272</v>
      </c>
      <c r="B31" s="163" t="s">
        <v>6273</v>
      </c>
      <c r="C31" s="168" t="s">
        <v>6272</v>
      </c>
      <c r="D31" s="163" t="s">
        <v>6273</v>
      </c>
      <c r="E31" s="166" t="b">
        <f t="shared" ref="E31:F31" si="30">eq(C31,A31)</f>
        <v>1</v>
      </c>
      <c r="F31" s="166" t="b">
        <f t="shared" si="30"/>
        <v>1</v>
      </c>
    </row>
    <row r="32">
      <c r="A32" s="163" t="s">
        <v>6274</v>
      </c>
      <c r="B32" s="163" t="s">
        <v>6275</v>
      </c>
      <c r="C32" s="168" t="s">
        <v>6274</v>
      </c>
      <c r="D32" s="163" t="s">
        <v>6275</v>
      </c>
      <c r="E32" s="166" t="b">
        <f t="shared" ref="E32:F32" si="31">eq(C32,A32)</f>
        <v>1</v>
      </c>
      <c r="F32" s="166" t="b">
        <f t="shared" si="31"/>
        <v>1</v>
      </c>
    </row>
    <row r="33">
      <c r="A33" s="163" t="s">
        <v>6276</v>
      </c>
      <c r="B33" s="163" t="s">
        <v>6277</v>
      </c>
      <c r="C33" s="168" t="s">
        <v>6276</v>
      </c>
      <c r="D33" s="163" t="s">
        <v>6277</v>
      </c>
      <c r="E33" s="166" t="b">
        <f t="shared" ref="E33:F33" si="32">eq(C33,A33)</f>
        <v>1</v>
      </c>
      <c r="F33" s="166" t="b">
        <f t="shared" si="32"/>
        <v>1</v>
      </c>
    </row>
    <row r="34">
      <c r="A34" s="163" t="s">
        <v>6278</v>
      </c>
      <c r="B34" s="163" t="s">
        <v>6279</v>
      </c>
      <c r="C34" s="168" t="s">
        <v>6278</v>
      </c>
      <c r="D34" s="163" t="s">
        <v>6279</v>
      </c>
      <c r="E34" s="166" t="b">
        <f t="shared" ref="E34:F34" si="33">eq(C34,A34)</f>
        <v>1</v>
      </c>
      <c r="F34" s="166" t="b">
        <f t="shared" si="33"/>
        <v>1</v>
      </c>
    </row>
    <row r="35">
      <c r="A35" s="163" t="s">
        <v>6280</v>
      </c>
      <c r="B35" s="163" t="s">
        <v>6281</v>
      </c>
      <c r="C35" s="168" t="s">
        <v>6280</v>
      </c>
      <c r="D35" s="163" t="s">
        <v>6281</v>
      </c>
      <c r="E35" s="166" t="b">
        <f t="shared" ref="E35:F35" si="34">eq(C35,A35)</f>
        <v>1</v>
      </c>
      <c r="F35" s="166" t="b">
        <f t="shared" si="34"/>
        <v>1</v>
      </c>
    </row>
    <row r="36">
      <c r="A36" s="163" t="s">
        <v>6282</v>
      </c>
      <c r="B36" s="163" t="s">
        <v>6283</v>
      </c>
      <c r="C36" s="168" t="s">
        <v>6282</v>
      </c>
      <c r="D36" s="163" t="s">
        <v>6283</v>
      </c>
      <c r="E36" s="166" t="b">
        <f t="shared" ref="E36:F36" si="35">eq(C36,A36)</f>
        <v>1</v>
      </c>
      <c r="F36" s="166" t="b">
        <f t="shared" si="35"/>
        <v>1</v>
      </c>
    </row>
    <row r="37">
      <c r="A37" s="163" t="s">
        <v>6284</v>
      </c>
      <c r="B37" s="163" t="s">
        <v>6285</v>
      </c>
      <c r="C37" s="168" t="s">
        <v>6284</v>
      </c>
      <c r="D37" s="163" t="s">
        <v>6285</v>
      </c>
      <c r="E37" s="166" t="b">
        <f t="shared" ref="E37:F37" si="36">eq(C37,A37)</f>
        <v>1</v>
      </c>
      <c r="F37" s="166" t="b">
        <f t="shared" si="36"/>
        <v>1</v>
      </c>
    </row>
    <row r="38">
      <c r="A38" s="163" t="s">
        <v>6286</v>
      </c>
      <c r="B38" s="163" t="s">
        <v>6287</v>
      </c>
      <c r="C38" s="168" t="s">
        <v>6286</v>
      </c>
      <c r="D38" s="163" t="s">
        <v>6287</v>
      </c>
      <c r="E38" s="166" t="b">
        <f t="shared" ref="E38:F38" si="37">eq(C38,A38)</f>
        <v>1</v>
      </c>
      <c r="F38" s="166" t="b">
        <f t="shared" si="37"/>
        <v>1</v>
      </c>
    </row>
    <row r="39">
      <c r="A39" s="163" t="s">
        <v>6288</v>
      </c>
      <c r="B39" s="163" t="s">
        <v>6289</v>
      </c>
      <c r="C39" s="168" t="s">
        <v>6288</v>
      </c>
      <c r="D39" s="163" t="s">
        <v>6289</v>
      </c>
      <c r="E39" s="166" t="b">
        <f t="shared" ref="E39:F39" si="38">eq(C39,A39)</f>
        <v>1</v>
      </c>
      <c r="F39" s="166" t="b">
        <f t="shared" si="38"/>
        <v>1</v>
      </c>
    </row>
    <row r="40">
      <c r="A40" s="163" t="s">
        <v>6290</v>
      </c>
      <c r="B40" s="163" t="s">
        <v>6291</v>
      </c>
      <c r="C40" s="168" t="s">
        <v>6290</v>
      </c>
      <c r="D40" s="163" t="s">
        <v>6291</v>
      </c>
      <c r="E40" s="166" t="b">
        <f t="shared" ref="E40:F40" si="39">eq(C40,A40)</f>
        <v>1</v>
      </c>
      <c r="F40" s="166" t="b">
        <f t="shared" si="39"/>
        <v>1</v>
      </c>
    </row>
    <row r="41">
      <c r="A41" s="163" t="s">
        <v>6292</v>
      </c>
      <c r="B41" s="163" t="s">
        <v>6293</v>
      </c>
      <c r="C41" s="168" t="s">
        <v>6292</v>
      </c>
      <c r="D41" s="163" t="s">
        <v>6293</v>
      </c>
      <c r="E41" s="166" t="b">
        <f t="shared" ref="E41:F41" si="40">eq(C41,A41)</f>
        <v>1</v>
      </c>
      <c r="F41" s="166" t="b">
        <f t="shared" si="40"/>
        <v>1</v>
      </c>
    </row>
    <row r="42">
      <c r="A42" s="163" t="s">
        <v>6294</v>
      </c>
      <c r="B42" s="163" t="s">
        <v>6295</v>
      </c>
      <c r="C42" s="168" t="s">
        <v>6294</v>
      </c>
      <c r="D42" s="163" t="s">
        <v>6295</v>
      </c>
      <c r="E42" s="166" t="b">
        <f t="shared" ref="E42:F42" si="41">eq(C42,A42)</f>
        <v>1</v>
      </c>
      <c r="F42" s="166" t="b">
        <f t="shared" si="41"/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5023</v>
      </c>
      <c r="B3" s="61">
        <v>2.0</v>
      </c>
      <c r="C3" s="61">
        <v>1.0</v>
      </c>
      <c r="E3" s="158" t="s">
        <v>6109</v>
      </c>
    </row>
    <row r="4">
      <c r="A4" s="61" t="s">
        <v>6110</v>
      </c>
      <c r="B4" s="158" t="s">
        <v>6111</v>
      </c>
      <c r="C4" s="158" t="s">
        <v>6111</v>
      </c>
      <c r="D4" s="158" t="s">
        <v>6111</v>
      </c>
      <c r="E4" s="158" t="s">
        <v>6111</v>
      </c>
    </row>
    <row r="5">
      <c r="A5" s="61" t="s">
        <v>6110</v>
      </c>
      <c r="B5" s="61">
        <v>2.0</v>
      </c>
      <c r="C5" s="61">
        <v>2.0</v>
      </c>
      <c r="E5" s="158" t="s">
        <v>6112</v>
      </c>
    </row>
    <row r="6">
      <c r="A6" s="61" t="s">
        <v>6113</v>
      </c>
      <c r="B6" s="158" t="s">
        <v>6114</v>
      </c>
      <c r="C6" s="158" t="s">
        <v>6114</v>
      </c>
      <c r="D6" s="158" t="s">
        <v>6114</v>
      </c>
      <c r="E6" s="158"/>
    </row>
    <row r="7">
      <c r="A7" s="61" t="s">
        <v>6113</v>
      </c>
      <c r="B7" s="61">
        <v>3.0</v>
      </c>
      <c r="C7" s="61">
        <v>3.0</v>
      </c>
      <c r="E7" s="158" t="s">
        <v>6115</v>
      </c>
    </row>
    <row r="8">
      <c r="A8" s="61" t="s">
        <v>6116</v>
      </c>
      <c r="B8" s="61">
        <v>3.0</v>
      </c>
      <c r="C8" s="61">
        <v>4.0</v>
      </c>
      <c r="E8" s="158" t="s">
        <v>6117</v>
      </c>
    </row>
    <row r="9">
      <c r="B9" s="158"/>
      <c r="C9" s="158"/>
      <c r="D9" s="158"/>
      <c r="E9" s="158"/>
    </row>
    <row r="10">
      <c r="B10" s="158"/>
      <c r="C10" s="158"/>
      <c r="D10" s="158"/>
      <c r="E10" s="158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2" width="4.63"/>
    <col customWidth="1" min="3" max="3" width="33.0"/>
    <col customWidth="1" min="4" max="4" width="3.75"/>
    <col customWidth="1" min="5" max="6" width="5.0"/>
  </cols>
  <sheetData>
    <row r="1">
      <c r="A1" s="61" t="s">
        <v>6103</v>
      </c>
      <c r="B1" s="61" t="s">
        <v>8</v>
      </c>
      <c r="C1" s="61"/>
      <c r="D1" s="61" t="s">
        <v>9</v>
      </c>
      <c r="E1" s="61" t="s">
        <v>6212</v>
      </c>
      <c r="F1" s="61" t="s">
        <v>6213</v>
      </c>
    </row>
    <row r="2">
      <c r="A2" s="167" t="s">
        <v>6296</v>
      </c>
      <c r="B2" s="160" t="s">
        <v>6297</v>
      </c>
      <c r="C2" s="167" t="s">
        <v>6296</v>
      </c>
      <c r="D2" s="160" t="s">
        <v>6297</v>
      </c>
      <c r="E2" s="166" t="b">
        <f t="shared" ref="E2:F2" si="1">eq(C2,A2)</f>
        <v>1</v>
      </c>
      <c r="F2" s="166" t="b">
        <f t="shared" si="1"/>
        <v>1</v>
      </c>
    </row>
    <row r="3">
      <c r="A3" s="168" t="s">
        <v>6298</v>
      </c>
      <c r="B3" s="163" t="s">
        <v>6299</v>
      </c>
      <c r="C3" s="168" t="s">
        <v>6298</v>
      </c>
      <c r="D3" s="163" t="s">
        <v>6299</v>
      </c>
      <c r="E3" s="166" t="b">
        <f t="shared" ref="E3:F3" si="2">eq(C3,A3)</f>
        <v>1</v>
      </c>
      <c r="F3" s="166" t="b">
        <f t="shared" si="2"/>
        <v>1</v>
      </c>
    </row>
    <row r="4">
      <c r="A4" s="168" t="s">
        <v>6300</v>
      </c>
      <c r="B4" s="163" t="s">
        <v>6301</v>
      </c>
      <c r="C4" s="168" t="s">
        <v>6300</v>
      </c>
      <c r="D4" s="163" t="s">
        <v>6301</v>
      </c>
      <c r="E4" s="166" t="b">
        <f t="shared" ref="E4:F4" si="3">eq(C4,A4)</f>
        <v>1</v>
      </c>
      <c r="F4" s="166" t="b">
        <f t="shared" si="3"/>
        <v>1</v>
      </c>
    </row>
    <row r="5">
      <c r="A5" s="168" t="s">
        <v>6302</v>
      </c>
      <c r="B5" s="163" t="s">
        <v>6303</v>
      </c>
      <c r="C5" s="168" t="s">
        <v>6302</v>
      </c>
      <c r="D5" s="163" t="s">
        <v>6303</v>
      </c>
      <c r="E5" s="166" t="b">
        <f t="shared" ref="E5:F5" si="4">eq(C5,A5)</f>
        <v>1</v>
      </c>
      <c r="F5" s="166" t="b">
        <f t="shared" si="4"/>
        <v>1</v>
      </c>
    </row>
    <row r="6">
      <c r="A6" s="168" t="s">
        <v>6304</v>
      </c>
      <c r="B6" s="163" t="s">
        <v>6305</v>
      </c>
      <c r="C6" s="168" t="s">
        <v>6304</v>
      </c>
      <c r="D6" s="163" t="s">
        <v>6305</v>
      </c>
      <c r="E6" s="166" t="b">
        <f t="shared" ref="E6:F6" si="5">eq(C6,A6)</f>
        <v>1</v>
      </c>
      <c r="F6" s="166" t="b">
        <f t="shared" si="5"/>
        <v>1</v>
      </c>
    </row>
    <row r="7">
      <c r="A7" s="168" t="s">
        <v>6306</v>
      </c>
      <c r="B7" s="163" t="s">
        <v>6307</v>
      </c>
      <c r="C7" s="168" t="s">
        <v>6306</v>
      </c>
      <c r="D7" s="163" t="s">
        <v>6307</v>
      </c>
      <c r="E7" s="166" t="b">
        <f t="shared" ref="E7:F7" si="6">eq(C7,A7)</f>
        <v>1</v>
      </c>
      <c r="F7" s="166" t="b">
        <f t="shared" si="6"/>
        <v>1</v>
      </c>
    </row>
    <row r="8">
      <c r="A8" s="168" t="s">
        <v>6308</v>
      </c>
      <c r="B8" s="163" t="s">
        <v>6309</v>
      </c>
      <c r="C8" s="168" t="s">
        <v>6308</v>
      </c>
      <c r="D8" s="163" t="s">
        <v>6309</v>
      </c>
      <c r="E8" s="166" t="b">
        <f t="shared" ref="E8:F8" si="7">eq(C8,A8)</f>
        <v>1</v>
      </c>
      <c r="F8" s="166" t="b">
        <f t="shared" si="7"/>
        <v>1</v>
      </c>
    </row>
    <row r="9">
      <c r="A9" s="168" t="s">
        <v>6310</v>
      </c>
      <c r="B9" s="163" t="s">
        <v>6311</v>
      </c>
      <c r="C9" s="168" t="s">
        <v>6310</v>
      </c>
      <c r="D9" s="163" t="s">
        <v>6311</v>
      </c>
      <c r="E9" s="166" t="b">
        <f t="shared" ref="E9:F9" si="8">eq(C9,A9)</f>
        <v>1</v>
      </c>
      <c r="F9" s="166" t="b">
        <f t="shared" si="8"/>
        <v>1</v>
      </c>
    </row>
    <row r="10">
      <c r="A10" s="168" t="s">
        <v>6312</v>
      </c>
      <c r="B10" s="163" t="s">
        <v>6313</v>
      </c>
      <c r="C10" s="168" t="s">
        <v>6312</v>
      </c>
      <c r="D10" s="163" t="s">
        <v>6313</v>
      </c>
      <c r="E10" s="166" t="b">
        <f t="shared" ref="E10:F10" si="9">eq(C10,A10)</f>
        <v>1</v>
      </c>
      <c r="F10" s="166" t="b">
        <f t="shared" si="9"/>
        <v>1</v>
      </c>
    </row>
    <row r="11">
      <c r="A11" s="168" t="s">
        <v>6314</v>
      </c>
      <c r="B11" s="163" t="s">
        <v>6315</v>
      </c>
      <c r="C11" s="168" t="s">
        <v>6314</v>
      </c>
      <c r="D11" s="163" t="s">
        <v>6315</v>
      </c>
      <c r="E11" s="166" t="b">
        <f t="shared" ref="E11:F11" si="10">eq(C11,A11)</f>
        <v>1</v>
      </c>
      <c r="F11" s="166" t="b">
        <f t="shared" si="10"/>
        <v>1</v>
      </c>
    </row>
    <row r="12">
      <c r="A12" s="168" t="s">
        <v>6316</v>
      </c>
      <c r="B12" s="163" t="s">
        <v>6317</v>
      </c>
      <c r="C12" s="168" t="s">
        <v>6316</v>
      </c>
      <c r="D12" s="163" t="s">
        <v>6317</v>
      </c>
      <c r="E12" s="166" t="b">
        <f t="shared" ref="E12:F12" si="11">eq(C12,A12)</f>
        <v>1</v>
      </c>
      <c r="F12" s="166" t="b">
        <f t="shared" si="11"/>
        <v>1</v>
      </c>
    </row>
    <row r="13">
      <c r="A13" s="168" t="s">
        <v>6318</v>
      </c>
      <c r="B13" s="163" t="s">
        <v>6319</v>
      </c>
      <c r="C13" s="168" t="s">
        <v>6318</v>
      </c>
      <c r="D13" s="163" t="s">
        <v>6319</v>
      </c>
      <c r="E13" s="166" t="b">
        <f t="shared" ref="E13:F13" si="12">eq(C13,A13)</f>
        <v>1</v>
      </c>
      <c r="F13" s="166" t="b">
        <f t="shared" si="12"/>
        <v>1</v>
      </c>
    </row>
    <row r="14">
      <c r="A14" s="168" t="s">
        <v>6320</v>
      </c>
      <c r="B14" s="163" t="s">
        <v>6321</v>
      </c>
      <c r="C14" s="168" t="s">
        <v>6320</v>
      </c>
      <c r="D14" s="163" t="s">
        <v>6321</v>
      </c>
      <c r="E14" s="166" t="b">
        <f t="shared" ref="E14:F14" si="13">eq(C14,A14)</f>
        <v>1</v>
      </c>
      <c r="F14" s="166" t="b">
        <f t="shared" si="13"/>
        <v>1</v>
      </c>
    </row>
    <row r="15">
      <c r="A15" s="168" t="s">
        <v>6322</v>
      </c>
      <c r="B15" s="163" t="s">
        <v>6323</v>
      </c>
      <c r="C15" s="168" t="s">
        <v>6322</v>
      </c>
      <c r="D15" s="163" t="s">
        <v>6323</v>
      </c>
      <c r="E15" s="166" t="b">
        <f t="shared" ref="E15:F15" si="14">eq(C15,A15)</f>
        <v>1</v>
      </c>
      <c r="F15" s="166" t="b">
        <f t="shared" si="14"/>
        <v>1</v>
      </c>
    </row>
    <row r="16">
      <c r="A16" s="168" t="s">
        <v>6324</v>
      </c>
      <c r="B16" s="163" t="s">
        <v>6325</v>
      </c>
      <c r="C16" s="168" t="s">
        <v>6324</v>
      </c>
      <c r="D16" s="163" t="s">
        <v>6325</v>
      </c>
      <c r="E16" s="166" t="b">
        <f t="shared" ref="E16:F16" si="15">eq(C16,A16)</f>
        <v>1</v>
      </c>
      <c r="F16" s="166" t="b">
        <f t="shared" si="15"/>
        <v>1</v>
      </c>
    </row>
    <row r="17">
      <c r="A17" s="168" t="s">
        <v>6326</v>
      </c>
      <c r="B17" s="163" t="s">
        <v>6327</v>
      </c>
      <c r="C17" s="168" t="s">
        <v>6326</v>
      </c>
      <c r="D17" s="163" t="s">
        <v>6327</v>
      </c>
      <c r="E17" s="166" t="b">
        <f t="shared" ref="E17:F17" si="16">eq(C17,A17)</f>
        <v>1</v>
      </c>
      <c r="F17" s="166" t="b">
        <f t="shared" si="16"/>
        <v>1</v>
      </c>
    </row>
    <row r="18">
      <c r="A18" s="168" t="s">
        <v>6328</v>
      </c>
      <c r="B18" s="163" t="s">
        <v>6329</v>
      </c>
      <c r="C18" s="168" t="s">
        <v>6328</v>
      </c>
      <c r="D18" s="163" t="s">
        <v>6329</v>
      </c>
      <c r="E18" s="166" t="b">
        <f t="shared" ref="E18:F18" si="17">eq(C18,A18)</f>
        <v>1</v>
      </c>
      <c r="F18" s="166" t="b">
        <f t="shared" si="17"/>
        <v>1</v>
      </c>
    </row>
    <row r="19">
      <c r="A19" s="168" t="s">
        <v>6330</v>
      </c>
      <c r="B19" s="163" t="s">
        <v>6331</v>
      </c>
      <c r="C19" s="168" t="s">
        <v>6330</v>
      </c>
      <c r="D19" s="163" t="s">
        <v>6331</v>
      </c>
      <c r="E19" s="166" t="b">
        <f t="shared" ref="E19:F19" si="18">eq(C19,A19)</f>
        <v>1</v>
      </c>
      <c r="F19" s="166" t="b">
        <f t="shared" si="18"/>
        <v>1</v>
      </c>
    </row>
    <row r="20">
      <c r="A20" s="168" t="s">
        <v>6332</v>
      </c>
      <c r="B20" s="163" t="s">
        <v>6333</v>
      </c>
      <c r="C20" s="168" t="s">
        <v>6332</v>
      </c>
      <c r="D20" s="163" t="s">
        <v>6333</v>
      </c>
      <c r="E20" s="166" t="b">
        <f t="shared" ref="E20:F20" si="19">eq(C20,A20)</f>
        <v>1</v>
      </c>
      <c r="F20" s="166" t="b">
        <f t="shared" si="19"/>
        <v>1</v>
      </c>
    </row>
    <row r="21">
      <c r="A21" s="168" t="s">
        <v>6334</v>
      </c>
      <c r="B21" s="163" t="s">
        <v>6335</v>
      </c>
      <c r="C21" s="168" t="s">
        <v>6334</v>
      </c>
      <c r="D21" s="163" t="s">
        <v>6335</v>
      </c>
      <c r="E21" s="166" t="b">
        <f t="shared" ref="E21:F21" si="20">eq(C21,A21)</f>
        <v>1</v>
      </c>
      <c r="F21" s="166" t="b">
        <f t="shared" si="20"/>
        <v>1</v>
      </c>
    </row>
    <row r="22">
      <c r="A22" s="168" t="s">
        <v>6336</v>
      </c>
      <c r="B22" s="163" t="s">
        <v>6337</v>
      </c>
      <c r="C22" s="168" t="s">
        <v>6336</v>
      </c>
      <c r="D22" s="163" t="s">
        <v>6337</v>
      </c>
      <c r="E22" s="166" t="b">
        <f t="shared" ref="E22:F22" si="21">eq(C22,A22)</f>
        <v>1</v>
      </c>
      <c r="F22" s="166" t="b">
        <f t="shared" si="21"/>
        <v>1</v>
      </c>
    </row>
    <row r="23">
      <c r="A23" s="168" t="s">
        <v>6338</v>
      </c>
      <c r="B23" s="163" t="s">
        <v>6339</v>
      </c>
      <c r="C23" s="168" t="s">
        <v>6338</v>
      </c>
      <c r="D23" s="163" t="s">
        <v>6339</v>
      </c>
      <c r="E23" s="166" t="b">
        <f t="shared" ref="E23:F23" si="22">eq(C23,A23)</f>
        <v>1</v>
      </c>
      <c r="F23" s="166" t="b">
        <f t="shared" si="22"/>
        <v>1</v>
      </c>
    </row>
    <row r="24">
      <c r="A24" s="168" t="s">
        <v>6340</v>
      </c>
      <c r="B24" s="163" t="s">
        <v>6341</v>
      </c>
      <c r="C24" s="168" t="s">
        <v>6340</v>
      </c>
      <c r="D24" s="163" t="s">
        <v>6341</v>
      </c>
      <c r="E24" s="166" t="b">
        <f t="shared" ref="E24:F24" si="23">eq(C24,A24)</f>
        <v>1</v>
      </c>
      <c r="F24" s="166" t="b">
        <f t="shared" si="23"/>
        <v>1</v>
      </c>
    </row>
    <row r="25">
      <c r="A25" s="168" t="s">
        <v>6342</v>
      </c>
      <c r="B25" s="163" t="s">
        <v>6343</v>
      </c>
      <c r="C25" s="168" t="s">
        <v>6342</v>
      </c>
      <c r="D25" s="163" t="s">
        <v>6343</v>
      </c>
      <c r="E25" s="166" t="b">
        <f t="shared" ref="E25:F25" si="24">eq(C25,A25)</f>
        <v>1</v>
      </c>
      <c r="F25" s="166" t="b">
        <f t="shared" si="24"/>
        <v>1</v>
      </c>
    </row>
    <row r="26">
      <c r="A26" s="168" t="s">
        <v>6344</v>
      </c>
      <c r="B26" s="163" t="s">
        <v>6345</v>
      </c>
      <c r="C26" s="168" t="s">
        <v>6344</v>
      </c>
      <c r="D26" s="163" t="s">
        <v>6345</v>
      </c>
      <c r="E26" s="166" t="b">
        <f t="shared" ref="E26:F26" si="25">eq(C26,A26)</f>
        <v>1</v>
      </c>
      <c r="F26" s="166" t="b">
        <f t="shared" si="25"/>
        <v>1</v>
      </c>
    </row>
    <row r="27">
      <c r="A27" s="168" t="s">
        <v>6346</v>
      </c>
      <c r="B27" s="163" t="s">
        <v>6347</v>
      </c>
      <c r="C27" s="168" t="s">
        <v>6346</v>
      </c>
      <c r="D27" s="163" t="s">
        <v>6347</v>
      </c>
      <c r="E27" s="166" t="b">
        <f t="shared" ref="E27:F27" si="26">eq(C27,A27)</f>
        <v>1</v>
      </c>
      <c r="F27" s="166" t="b">
        <f t="shared" si="26"/>
        <v>1</v>
      </c>
    </row>
    <row r="28">
      <c r="A28" s="168" t="s">
        <v>6348</v>
      </c>
      <c r="B28" s="163" t="s">
        <v>6349</v>
      </c>
      <c r="C28" s="168" t="s">
        <v>6348</v>
      </c>
      <c r="D28" s="163" t="s">
        <v>6349</v>
      </c>
      <c r="E28" s="166" t="b">
        <f t="shared" ref="E28:F28" si="27">eq(C28,A28)</f>
        <v>1</v>
      </c>
      <c r="F28" s="166" t="b">
        <f t="shared" si="27"/>
        <v>1</v>
      </c>
    </row>
    <row r="29">
      <c r="A29" s="168" t="s">
        <v>6350</v>
      </c>
      <c r="B29" s="163" t="s">
        <v>6351</v>
      </c>
      <c r="C29" s="168" t="s">
        <v>6350</v>
      </c>
      <c r="D29" s="163" t="s">
        <v>6351</v>
      </c>
      <c r="E29" s="166" t="b">
        <f t="shared" ref="E29:F29" si="28">eq(C29,A29)</f>
        <v>1</v>
      </c>
      <c r="F29" s="166" t="b">
        <f t="shared" si="28"/>
        <v>1</v>
      </c>
    </row>
    <row r="30">
      <c r="A30" s="168" t="s">
        <v>6352</v>
      </c>
      <c r="B30" s="163" t="s">
        <v>6353</v>
      </c>
      <c r="C30" s="168" t="s">
        <v>6352</v>
      </c>
      <c r="D30" s="163" t="s">
        <v>6353</v>
      </c>
      <c r="E30" s="166" t="b">
        <f t="shared" ref="E30:F30" si="29">eq(C30,A30)</f>
        <v>1</v>
      </c>
      <c r="F30" s="166" t="b">
        <f t="shared" si="29"/>
        <v>1</v>
      </c>
    </row>
    <row r="31">
      <c r="A31" s="168" t="s">
        <v>6354</v>
      </c>
      <c r="B31" s="163" t="s">
        <v>6355</v>
      </c>
      <c r="C31" s="168" t="s">
        <v>6354</v>
      </c>
      <c r="D31" s="163" t="s">
        <v>6355</v>
      </c>
      <c r="E31" s="166" t="b">
        <f t="shared" ref="E31:F31" si="30">eq(C31,A31)</f>
        <v>1</v>
      </c>
      <c r="F31" s="166" t="b">
        <f t="shared" si="30"/>
        <v>1</v>
      </c>
    </row>
    <row r="32">
      <c r="A32" s="168" t="s">
        <v>6356</v>
      </c>
      <c r="B32" s="163" t="s">
        <v>6357</v>
      </c>
      <c r="C32" s="168" t="s">
        <v>6356</v>
      </c>
      <c r="D32" s="163" t="s">
        <v>6357</v>
      </c>
      <c r="E32" s="166" t="b">
        <f t="shared" ref="E32:F32" si="31">eq(C32,A32)</f>
        <v>1</v>
      </c>
      <c r="F32" s="166" t="b">
        <f t="shared" si="31"/>
        <v>1</v>
      </c>
    </row>
    <row r="33">
      <c r="A33" s="168" t="s">
        <v>6358</v>
      </c>
      <c r="B33" s="163" t="s">
        <v>6359</v>
      </c>
      <c r="C33" s="168" t="s">
        <v>6358</v>
      </c>
      <c r="D33" s="163" t="s">
        <v>6359</v>
      </c>
      <c r="E33" s="166" t="b">
        <f t="shared" ref="E33:F33" si="32">eq(C33,A33)</f>
        <v>1</v>
      </c>
      <c r="F33" s="166" t="b">
        <f t="shared" si="32"/>
        <v>1</v>
      </c>
    </row>
    <row r="34">
      <c r="A34" s="168" t="s">
        <v>6360</v>
      </c>
      <c r="B34" s="163" t="s">
        <v>6361</v>
      </c>
      <c r="C34" s="168" t="s">
        <v>6360</v>
      </c>
      <c r="D34" s="163" t="s">
        <v>6361</v>
      </c>
      <c r="E34" s="166" t="b">
        <f t="shared" ref="E34:F34" si="33">eq(C34,A34)</f>
        <v>1</v>
      </c>
      <c r="F34" s="166" t="b">
        <f t="shared" si="33"/>
        <v>1</v>
      </c>
    </row>
    <row r="35">
      <c r="A35" s="168" t="s">
        <v>6362</v>
      </c>
      <c r="B35" s="163" t="s">
        <v>6363</v>
      </c>
      <c r="C35" s="168" t="s">
        <v>6362</v>
      </c>
      <c r="D35" s="163" t="s">
        <v>6363</v>
      </c>
      <c r="E35" s="166" t="b">
        <f t="shared" ref="E35:F35" si="34">eq(C35,A35)</f>
        <v>1</v>
      </c>
      <c r="F35" s="166" t="b">
        <f t="shared" si="34"/>
        <v>1</v>
      </c>
    </row>
    <row r="36">
      <c r="A36" s="168" t="s">
        <v>6364</v>
      </c>
      <c r="B36" s="163" t="s">
        <v>6365</v>
      </c>
      <c r="C36" s="168" t="s">
        <v>6364</v>
      </c>
      <c r="D36" s="163" t="s">
        <v>6365</v>
      </c>
      <c r="E36" s="166" t="b">
        <f t="shared" ref="E36:F36" si="35">eq(C36,A36)</f>
        <v>1</v>
      </c>
      <c r="F36" s="166" t="b">
        <f t="shared" si="35"/>
        <v>1</v>
      </c>
    </row>
    <row r="37">
      <c r="A37" s="168" t="s">
        <v>6366</v>
      </c>
      <c r="B37" s="163" t="s">
        <v>6367</v>
      </c>
      <c r="C37" s="168" t="s">
        <v>6366</v>
      </c>
      <c r="D37" s="163" t="s">
        <v>6367</v>
      </c>
      <c r="E37" s="166" t="b">
        <f t="shared" ref="E37:F37" si="36">eq(C37,A37)</f>
        <v>1</v>
      </c>
      <c r="F37" s="166" t="b">
        <f t="shared" si="36"/>
        <v>1</v>
      </c>
    </row>
    <row r="38">
      <c r="A38" s="168" t="s">
        <v>6368</v>
      </c>
      <c r="B38" s="163" t="s">
        <v>6369</v>
      </c>
      <c r="C38" s="168" t="s">
        <v>6368</v>
      </c>
      <c r="D38" s="163" t="s">
        <v>6369</v>
      </c>
      <c r="E38" s="166" t="b">
        <f t="shared" ref="E38:F38" si="37">eq(C38,A38)</f>
        <v>1</v>
      </c>
      <c r="F38" s="166" t="b">
        <f t="shared" si="37"/>
        <v>1</v>
      </c>
    </row>
    <row r="39">
      <c r="A39" s="168" t="s">
        <v>6370</v>
      </c>
      <c r="B39" s="163" t="s">
        <v>6371</v>
      </c>
      <c r="C39" s="168" t="s">
        <v>6370</v>
      </c>
      <c r="D39" s="163" t="s">
        <v>6371</v>
      </c>
      <c r="E39" s="166" t="b">
        <f t="shared" ref="E39:F39" si="38">eq(C39,A39)</f>
        <v>1</v>
      </c>
      <c r="F39" s="166" t="b">
        <f t="shared" si="38"/>
        <v>1</v>
      </c>
    </row>
    <row r="40">
      <c r="A40" s="168" t="s">
        <v>6372</v>
      </c>
      <c r="B40" s="163" t="s">
        <v>6373</v>
      </c>
      <c r="C40" s="168" t="s">
        <v>6372</v>
      </c>
      <c r="D40" s="163" t="s">
        <v>6373</v>
      </c>
      <c r="E40" s="166" t="b">
        <f t="shared" ref="E40:F40" si="39">eq(C40,A40)</f>
        <v>1</v>
      </c>
      <c r="F40" s="166" t="b">
        <f t="shared" si="39"/>
        <v>1</v>
      </c>
    </row>
    <row r="41">
      <c r="A41" s="168" t="s">
        <v>6374</v>
      </c>
      <c r="B41" s="163" t="s">
        <v>6375</v>
      </c>
      <c r="C41" s="168" t="s">
        <v>6374</v>
      </c>
      <c r="D41" s="163" t="s">
        <v>6375</v>
      </c>
      <c r="E41" s="166" t="b">
        <f t="shared" ref="E41:F41" si="40">eq(C41,A41)</f>
        <v>1</v>
      </c>
      <c r="F41" s="166" t="b">
        <f t="shared" si="40"/>
        <v>1</v>
      </c>
    </row>
    <row r="42">
      <c r="A42" s="168" t="s">
        <v>6376</v>
      </c>
      <c r="B42" s="163" t="s">
        <v>6377</v>
      </c>
      <c r="C42" s="168" t="s">
        <v>6376</v>
      </c>
      <c r="D42" s="163" t="s">
        <v>6377</v>
      </c>
      <c r="E42" s="166" t="b">
        <f t="shared" ref="E42:F42" si="41">eq(C42,A42)</f>
        <v>1</v>
      </c>
      <c r="F42" s="166" t="b">
        <f t="shared" si="41"/>
        <v>1</v>
      </c>
    </row>
    <row r="43">
      <c r="A43" s="168" t="s">
        <v>6378</v>
      </c>
      <c r="B43" s="163" t="s">
        <v>6379</v>
      </c>
      <c r="C43" s="168" t="s">
        <v>6378</v>
      </c>
      <c r="D43" s="163" t="s">
        <v>6379</v>
      </c>
      <c r="E43" s="166" t="b">
        <f t="shared" ref="E43:F43" si="42">eq(C43,A43)</f>
        <v>1</v>
      </c>
      <c r="F43" s="166" t="b">
        <f t="shared" si="42"/>
        <v>1</v>
      </c>
    </row>
    <row r="44">
      <c r="A44" s="168" t="s">
        <v>6380</v>
      </c>
      <c r="B44" s="163" t="s">
        <v>6381</v>
      </c>
      <c r="C44" s="168" t="s">
        <v>6380</v>
      </c>
      <c r="D44" s="163" t="s">
        <v>6381</v>
      </c>
      <c r="E44" s="166" t="b">
        <f t="shared" ref="E44:F44" si="43">eq(C44,A44)</f>
        <v>1</v>
      </c>
      <c r="F44" s="166" t="b">
        <f t="shared" si="43"/>
        <v>1</v>
      </c>
    </row>
    <row r="45">
      <c r="A45" s="168" t="s">
        <v>6382</v>
      </c>
      <c r="B45" s="163" t="s">
        <v>6383</v>
      </c>
      <c r="C45" s="168" t="s">
        <v>6382</v>
      </c>
      <c r="D45" s="163" t="s">
        <v>6383</v>
      </c>
      <c r="E45" s="166" t="b">
        <f t="shared" ref="E45:F45" si="44">eq(C45,A45)</f>
        <v>1</v>
      </c>
      <c r="F45" s="166" t="b">
        <f t="shared" si="44"/>
        <v>1</v>
      </c>
    </row>
    <row r="46">
      <c r="A46" s="168" t="s">
        <v>6384</v>
      </c>
      <c r="B46" s="163" t="s">
        <v>6385</v>
      </c>
      <c r="C46" s="168" t="s">
        <v>6384</v>
      </c>
      <c r="D46" s="163" t="s">
        <v>6385</v>
      </c>
      <c r="E46" s="166" t="b">
        <f t="shared" ref="E46:F46" si="45">eq(C46,A46)</f>
        <v>1</v>
      </c>
      <c r="F46" s="166" t="b">
        <f t="shared" si="45"/>
        <v>1</v>
      </c>
    </row>
    <row r="47">
      <c r="A47" s="168" t="s">
        <v>6386</v>
      </c>
      <c r="B47" s="163" t="s">
        <v>6387</v>
      </c>
      <c r="C47" s="168" t="s">
        <v>6386</v>
      </c>
      <c r="D47" s="163" t="s">
        <v>6387</v>
      </c>
      <c r="E47" s="166" t="b">
        <f t="shared" ref="E47:F47" si="46">eq(C47,A47)</f>
        <v>1</v>
      </c>
      <c r="F47" s="166" t="b">
        <f t="shared" si="46"/>
        <v>1</v>
      </c>
    </row>
    <row r="48">
      <c r="A48" s="168" t="s">
        <v>6388</v>
      </c>
      <c r="B48" s="163" t="s">
        <v>6389</v>
      </c>
      <c r="C48" s="168" t="s">
        <v>6388</v>
      </c>
      <c r="D48" s="163" t="s">
        <v>6389</v>
      </c>
      <c r="E48" s="166" t="b">
        <f t="shared" ref="E48:F48" si="47">eq(C48,A48)</f>
        <v>1</v>
      </c>
      <c r="F48" s="166" t="b">
        <f t="shared" si="47"/>
        <v>1</v>
      </c>
    </row>
    <row r="49">
      <c r="A49" s="168" t="s">
        <v>6390</v>
      </c>
      <c r="B49" s="163" t="s">
        <v>6391</v>
      </c>
      <c r="C49" s="168" t="s">
        <v>6390</v>
      </c>
      <c r="D49" s="163" t="s">
        <v>6391</v>
      </c>
      <c r="E49" s="166" t="b">
        <f t="shared" ref="E49:F49" si="48">eq(C49,A49)</f>
        <v>1</v>
      </c>
      <c r="F49" s="166" t="b">
        <f t="shared" si="48"/>
        <v>1</v>
      </c>
    </row>
    <row r="50">
      <c r="A50" s="168" t="s">
        <v>6392</v>
      </c>
      <c r="B50" s="163" t="s">
        <v>6393</v>
      </c>
      <c r="C50" s="168" t="s">
        <v>6392</v>
      </c>
      <c r="D50" s="163" t="s">
        <v>6393</v>
      </c>
      <c r="E50" s="166" t="b">
        <f t="shared" ref="E50:F50" si="49">eq(C50,A50)</f>
        <v>1</v>
      </c>
      <c r="F50" s="166" t="b">
        <f t="shared" si="49"/>
        <v>1</v>
      </c>
    </row>
    <row r="51">
      <c r="A51" s="168" t="s">
        <v>6394</v>
      </c>
      <c r="B51" s="163" t="s">
        <v>6395</v>
      </c>
      <c r="C51" s="168" t="s">
        <v>6394</v>
      </c>
      <c r="D51" s="163" t="s">
        <v>6395</v>
      </c>
      <c r="E51" s="166" t="b">
        <f t="shared" ref="E51:F51" si="50">eq(C51,A51)</f>
        <v>1</v>
      </c>
      <c r="F51" s="166" t="b">
        <f t="shared" si="50"/>
        <v>1</v>
      </c>
    </row>
    <row r="52">
      <c r="A52" s="168" t="s">
        <v>6396</v>
      </c>
      <c r="B52" s="163" t="s">
        <v>6397</v>
      </c>
      <c r="C52" s="168" t="s">
        <v>6396</v>
      </c>
      <c r="D52" s="163" t="s">
        <v>6397</v>
      </c>
      <c r="E52" s="166" t="b">
        <f t="shared" ref="E52:F52" si="51">eq(C52,A52)</f>
        <v>1</v>
      </c>
      <c r="F52" s="166" t="b">
        <f t="shared" si="51"/>
        <v>1</v>
      </c>
    </row>
    <row r="53">
      <c r="A53" s="168" t="s">
        <v>6314</v>
      </c>
      <c r="B53" s="163" t="s">
        <v>6398</v>
      </c>
      <c r="C53" s="168" t="s">
        <v>6314</v>
      </c>
      <c r="D53" s="163" t="s">
        <v>6398</v>
      </c>
      <c r="E53" s="166" t="b">
        <f t="shared" ref="E53:F53" si="52">eq(C53,A53)</f>
        <v>1</v>
      </c>
      <c r="F53" s="166" t="b">
        <f t="shared" si="52"/>
        <v>1</v>
      </c>
    </row>
    <row r="54">
      <c r="A54" s="168" t="s">
        <v>6318</v>
      </c>
      <c r="B54" s="163" t="s">
        <v>6399</v>
      </c>
      <c r="C54" s="168" t="s">
        <v>6318</v>
      </c>
      <c r="D54" s="163" t="s">
        <v>6399</v>
      </c>
      <c r="E54" s="166" t="b">
        <f t="shared" ref="E54:F54" si="53">eq(C54,A54)</f>
        <v>1</v>
      </c>
      <c r="F54" s="166" t="b">
        <f t="shared" si="53"/>
        <v>1</v>
      </c>
    </row>
    <row r="55">
      <c r="A55" s="168" t="s">
        <v>6390</v>
      </c>
      <c r="B55" s="163" t="s">
        <v>6400</v>
      </c>
      <c r="C55" s="168" t="s">
        <v>6390</v>
      </c>
      <c r="D55" s="163" t="s">
        <v>6400</v>
      </c>
      <c r="E55" s="166" t="b">
        <f t="shared" ref="E55:F55" si="54">eq(C55,A55)</f>
        <v>1</v>
      </c>
      <c r="F55" s="166" t="b">
        <f t="shared" si="54"/>
        <v>1</v>
      </c>
    </row>
    <row r="56">
      <c r="A56" s="168" t="s">
        <v>6401</v>
      </c>
      <c r="B56" s="163" t="s">
        <v>6402</v>
      </c>
      <c r="C56" s="168" t="s">
        <v>6401</v>
      </c>
      <c r="D56" s="163" t="s">
        <v>6402</v>
      </c>
      <c r="E56" s="166" t="b">
        <f t="shared" ref="E56:F56" si="55">eq(C56,A56)</f>
        <v>1</v>
      </c>
      <c r="F56" s="166" t="b">
        <f t="shared" si="55"/>
        <v>1</v>
      </c>
    </row>
    <row r="57">
      <c r="A57" s="168" t="s">
        <v>6403</v>
      </c>
      <c r="B57" s="163" t="s">
        <v>6404</v>
      </c>
      <c r="C57" s="168" t="s">
        <v>6403</v>
      </c>
      <c r="D57" s="163" t="s">
        <v>6404</v>
      </c>
      <c r="E57" s="166" t="b">
        <f t="shared" ref="E57:F57" si="56">eq(C57,A57)</f>
        <v>1</v>
      </c>
      <c r="F57" s="166" t="b">
        <f t="shared" si="56"/>
        <v>1</v>
      </c>
    </row>
    <row r="58">
      <c r="A58" s="168" t="s">
        <v>6405</v>
      </c>
      <c r="B58" s="163" t="s">
        <v>6406</v>
      </c>
      <c r="C58" s="168" t="s">
        <v>6405</v>
      </c>
      <c r="D58" s="163" t="s">
        <v>6406</v>
      </c>
      <c r="E58" s="166" t="b">
        <f t="shared" ref="E58:F58" si="57">eq(C58,A58)</f>
        <v>1</v>
      </c>
      <c r="F58" s="166" t="b">
        <f t="shared" si="57"/>
        <v>1</v>
      </c>
    </row>
    <row r="59">
      <c r="A59" s="168" t="s">
        <v>6407</v>
      </c>
      <c r="B59" s="163" t="s">
        <v>6408</v>
      </c>
      <c r="C59" s="168" t="s">
        <v>6407</v>
      </c>
      <c r="D59" s="163" t="s">
        <v>6408</v>
      </c>
      <c r="E59" s="166" t="b">
        <f t="shared" ref="E59:F59" si="58">eq(C59,A59)</f>
        <v>1</v>
      </c>
      <c r="F59" s="166" t="b">
        <f t="shared" si="58"/>
        <v>1</v>
      </c>
    </row>
    <row r="60">
      <c r="A60" s="168" t="s">
        <v>6409</v>
      </c>
      <c r="B60" s="163" t="s">
        <v>6410</v>
      </c>
      <c r="C60" s="168" t="s">
        <v>6409</v>
      </c>
      <c r="D60" s="163" t="s">
        <v>6410</v>
      </c>
      <c r="E60" s="166" t="b">
        <f t="shared" ref="E60:F60" si="59">eq(C60,A60)</f>
        <v>1</v>
      </c>
      <c r="F60" s="166" t="b">
        <f t="shared" si="59"/>
        <v>1</v>
      </c>
    </row>
    <row r="61">
      <c r="A61" s="168" t="s">
        <v>6411</v>
      </c>
      <c r="B61" s="163" t="s">
        <v>6412</v>
      </c>
      <c r="C61" s="168" t="s">
        <v>6411</v>
      </c>
      <c r="D61" s="163" t="s">
        <v>6412</v>
      </c>
      <c r="E61" s="166" t="b">
        <f t="shared" ref="E61:F61" si="60">eq(C61,A61)</f>
        <v>1</v>
      </c>
      <c r="F61" s="166" t="b">
        <f t="shared" si="60"/>
        <v>1</v>
      </c>
    </row>
    <row r="62">
      <c r="A62" s="168" t="s">
        <v>6413</v>
      </c>
      <c r="B62" s="163" t="s">
        <v>6414</v>
      </c>
      <c r="C62" s="168" t="s">
        <v>6413</v>
      </c>
      <c r="D62" s="163" t="s">
        <v>6414</v>
      </c>
      <c r="E62" s="166" t="b">
        <f t="shared" ref="E62:F62" si="61">eq(C62,A62)</f>
        <v>1</v>
      </c>
      <c r="F62" s="166" t="b">
        <f t="shared" si="61"/>
        <v>1</v>
      </c>
    </row>
    <row r="63">
      <c r="A63" s="168" t="s">
        <v>6415</v>
      </c>
      <c r="B63" s="163" t="s">
        <v>6416</v>
      </c>
      <c r="C63" s="168" t="s">
        <v>6415</v>
      </c>
      <c r="D63" s="163" t="s">
        <v>6416</v>
      </c>
      <c r="E63" s="166" t="b">
        <f t="shared" ref="E63:F63" si="62">eq(C63,A63)</f>
        <v>1</v>
      </c>
      <c r="F63" s="166" t="b">
        <f t="shared" si="62"/>
        <v>1</v>
      </c>
    </row>
    <row r="64">
      <c r="A64" s="168" t="s">
        <v>6417</v>
      </c>
      <c r="B64" s="163" t="s">
        <v>6418</v>
      </c>
      <c r="C64" s="168" t="s">
        <v>6417</v>
      </c>
      <c r="D64" s="163" t="s">
        <v>6418</v>
      </c>
      <c r="E64" s="166" t="b">
        <f t="shared" ref="E64:F64" si="63">eq(C64,A64)</f>
        <v>1</v>
      </c>
      <c r="F64" s="166" t="b">
        <f t="shared" si="63"/>
        <v>1</v>
      </c>
    </row>
    <row r="65">
      <c r="A65" s="168" t="s">
        <v>6419</v>
      </c>
      <c r="B65" s="163" t="s">
        <v>6420</v>
      </c>
      <c r="C65" s="168" t="s">
        <v>6419</v>
      </c>
      <c r="D65" s="163" t="s">
        <v>6420</v>
      </c>
      <c r="E65" s="166" t="b">
        <f t="shared" ref="E65:F65" si="64">eq(C65,A65)</f>
        <v>1</v>
      </c>
      <c r="F65" s="166" t="b">
        <f t="shared" si="64"/>
        <v>1</v>
      </c>
    </row>
    <row r="66">
      <c r="A66" s="168" t="s">
        <v>6421</v>
      </c>
      <c r="B66" s="163" t="s">
        <v>6422</v>
      </c>
      <c r="C66" s="168" t="s">
        <v>6421</v>
      </c>
      <c r="D66" s="163" t="s">
        <v>6422</v>
      </c>
      <c r="E66" s="166" t="b">
        <f t="shared" ref="E66:F66" si="65">eq(C66,A66)</f>
        <v>1</v>
      </c>
      <c r="F66" s="166" t="b">
        <f t="shared" si="65"/>
        <v>1</v>
      </c>
    </row>
    <row r="67">
      <c r="A67" s="168" t="s">
        <v>6423</v>
      </c>
      <c r="B67" s="163" t="s">
        <v>6424</v>
      </c>
      <c r="C67" s="168" t="s">
        <v>6423</v>
      </c>
      <c r="D67" s="163" t="s">
        <v>6424</v>
      </c>
      <c r="E67" s="166" t="b">
        <f t="shared" ref="E67:F67" si="66">eq(C67,A67)</f>
        <v>1</v>
      </c>
      <c r="F67" s="166" t="b">
        <f t="shared" si="66"/>
        <v>1</v>
      </c>
    </row>
    <row r="68">
      <c r="A68" s="168" t="s">
        <v>6425</v>
      </c>
      <c r="B68" s="163" t="s">
        <v>6426</v>
      </c>
      <c r="C68" s="168" t="s">
        <v>6425</v>
      </c>
      <c r="D68" s="163" t="s">
        <v>6426</v>
      </c>
      <c r="E68" s="166" t="b">
        <f t="shared" ref="E68:F68" si="67">eq(C68,A68)</f>
        <v>1</v>
      </c>
      <c r="F68" s="166" t="b">
        <f t="shared" si="67"/>
        <v>1</v>
      </c>
    </row>
    <row r="69">
      <c r="A69" s="168" t="s">
        <v>6427</v>
      </c>
      <c r="B69" s="163" t="s">
        <v>6428</v>
      </c>
      <c r="C69" s="168" t="s">
        <v>6427</v>
      </c>
      <c r="D69" s="163" t="s">
        <v>6428</v>
      </c>
      <c r="E69" s="166" t="b">
        <f t="shared" ref="E69:F69" si="68">eq(C69,A69)</f>
        <v>1</v>
      </c>
      <c r="F69" s="166" t="b">
        <f t="shared" si="68"/>
        <v>1</v>
      </c>
    </row>
    <row r="70">
      <c r="A70" s="168" t="s">
        <v>6429</v>
      </c>
      <c r="B70" s="163" t="s">
        <v>6430</v>
      </c>
      <c r="C70" s="168" t="s">
        <v>6429</v>
      </c>
      <c r="D70" s="163" t="s">
        <v>6430</v>
      </c>
      <c r="E70" s="166" t="b">
        <f t="shared" ref="E70:F70" si="69">eq(C70,A70)</f>
        <v>1</v>
      </c>
      <c r="F70" s="166" t="b">
        <f t="shared" si="69"/>
        <v>1</v>
      </c>
    </row>
    <row r="71">
      <c r="A71" s="168" t="s">
        <v>6431</v>
      </c>
      <c r="B71" s="163" t="s">
        <v>6432</v>
      </c>
      <c r="C71" s="168" t="s">
        <v>6431</v>
      </c>
      <c r="D71" s="163" t="s">
        <v>6432</v>
      </c>
      <c r="E71" s="166" t="b">
        <f t="shared" ref="E71:F71" si="70">eq(C71,A71)</f>
        <v>1</v>
      </c>
      <c r="F71" s="166" t="b">
        <f t="shared" si="70"/>
        <v>1</v>
      </c>
    </row>
    <row r="72">
      <c r="A72" s="168" t="s">
        <v>6433</v>
      </c>
      <c r="B72" s="163" t="s">
        <v>6434</v>
      </c>
      <c r="C72" s="168" t="s">
        <v>6433</v>
      </c>
      <c r="D72" s="163" t="s">
        <v>6434</v>
      </c>
      <c r="E72" s="166" t="b">
        <f t="shared" ref="E72:F72" si="71">eq(C72,A72)</f>
        <v>1</v>
      </c>
      <c r="F72" s="166" t="b">
        <f t="shared" si="71"/>
        <v>1</v>
      </c>
    </row>
    <row r="73">
      <c r="A73" s="168" t="s">
        <v>6435</v>
      </c>
      <c r="B73" s="163" t="s">
        <v>6436</v>
      </c>
      <c r="C73" s="168" t="s">
        <v>6435</v>
      </c>
      <c r="D73" s="163" t="s">
        <v>6436</v>
      </c>
      <c r="E73" s="166" t="b">
        <f t="shared" ref="E73:F73" si="72">eq(C73,A73)</f>
        <v>1</v>
      </c>
      <c r="F73" s="166" t="b">
        <f t="shared" si="72"/>
        <v>1</v>
      </c>
    </row>
    <row r="74">
      <c r="A74" s="168" t="s">
        <v>6437</v>
      </c>
      <c r="B74" s="163" t="s">
        <v>6438</v>
      </c>
      <c r="C74" s="168" t="s">
        <v>6437</v>
      </c>
      <c r="D74" s="163" t="s">
        <v>6438</v>
      </c>
      <c r="E74" s="166" t="b">
        <f t="shared" ref="E74:F74" si="73">eq(C74,A74)</f>
        <v>1</v>
      </c>
      <c r="F74" s="166" t="b">
        <f t="shared" si="73"/>
        <v>1</v>
      </c>
    </row>
    <row r="75">
      <c r="A75" s="168" t="s">
        <v>6439</v>
      </c>
      <c r="B75" s="163" t="s">
        <v>6440</v>
      </c>
      <c r="C75" s="168" t="s">
        <v>6439</v>
      </c>
      <c r="D75" s="163" t="s">
        <v>6440</v>
      </c>
      <c r="E75" s="166" t="b">
        <f t="shared" ref="E75:F75" si="74">eq(C75,A75)</f>
        <v>1</v>
      </c>
      <c r="F75" s="166" t="b">
        <f t="shared" si="74"/>
        <v>1</v>
      </c>
    </row>
    <row r="76">
      <c r="A76" s="168" t="s">
        <v>6441</v>
      </c>
      <c r="B76" s="163" t="s">
        <v>6442</v>
      </c>
      <c r="C76" s="168" t="s">
        <v>6441</v>
      </c>
      <c r="D76" s="163" t="s">
        <v>6442</v>
      </c>
      <c r="E76" s="166" t="b">
        <f t="shared" ref="E76:F76" si="75">eq(C76,A76)</f>
        <v>1</v>
      </c>
      <c r="F76" s="166" t="b">
        <f t="shared" si="75"/>
        <v>1</v>
      </c>
    </row>
    <row r="77">
      <c r="A77" s="168" t="s">
        <v>6443</v>
      </c>
      <c r="B77" s="163" t="s">
        <v>6444</v>
      </c>
      <c r="C77" s="168" t="s">
        <v>6443</v>
      </c>
      <c r="D77" s="163" t="s">
        <v>6444</v>
      </c>
      <c r="E77" s="166" t="b">
        <f t="shared" ref="E77:F77" si="76">eq(C77,A77)</f>
        <v>1</v>
      </c>
      <c r="F77" s="166" t="b">
        <f t="shared" si="76"/>
        <v>1</v>
      </c>
    </row>
    <row r="78">
      <c r="A78" s="168" t="s">
        <v>6445</v>
      </c>
      <c r="B78" s="163" t="s">
        <v>6446</v>
      </c>
      <c r="C78" s="168" t="s">
        <v>6445</v>
      </c>
      <c r="D78" s="163" t="s">
        <v>6446</v>
      </c>
      <c r="E78" s="166" t="b">
        <f t="shared" ref="E78:F78" si="77">eq(C78,A78)</f>
        <v>1</v>
      </c>
      <c r="F78" s="166" t="b">
        <f t="shared" si="77"/>
        <v>1</v>
      </c>
    </row>
    <row r="79">
      <c r="A79" s="168" t="s">
        <v>6447</v>
      </c>
      <c r="B79" s="163" t="s">
        <v>6448</v>
      </c>
      <c r="C79" s="168" t="s">
        <v>6447</v>
      </c>
      <c r="D79" s="163" t="s">
        <v>6448</v>
      </c>
      <c r="E79" s="166" t="b">
        <f t="shared" ref="E79:F79" si="78">eq(C79,A79)</f>
        <v>1</v>
      </c>
      <c r="F79" s="166" t="b">
        <f t="shared" si="78"/>
        <v>1</v>
      </c>
    </row>
    <row r="80">
      <c r="A80" s="168" t="s">
        <v>6449</v>
      </c>
      <c r="B80" s="163" t="s">
        <v>6450</v>
      </c>
      <c r="C80" s="168" t="s">
        <v>6449</v>
      </c>
      <c r="D80" s="163" t="s">
        <v>6450</v>
      </c>
      <c r="E80" s="166" t="b">
        <f t="shared" ref="E80:F80" si="79">eq(C80,A80)</f>
        <v>1</v>
      </c>
      <c r="F80" s="166" t="b">
        <f t="shared" si="79"/>
        <v>1</v>
      </c>
    </row>
    <row r="81">
      <c r="A81" s="168" t="s">
        <v>6451</v>
      </c>
      <c r="B81" s="163" t="s">
        <v>6452</v>
      </c>
      <c r="C81" s="168" t="s">
        <v>6451</v>
      </c>
      <c r="D81" s="163" t="s">
        <v>6452</v>
      </c>
      <c r="E81" s="166" t="b">
        <f t="shared" ref="E81:F81" si="80">eq(C81,A81)</f>
        <v>1</v>
      </c>
      <c r="F81" s="166" t="b">
        <f t="shared" si="80"/>
        <v>1</v>
      </c>
    </row>
    <row r="82">
      <c r="A82" s="168" t="s">
        <v>6453</v>
      </c>
      <c r="B82" s="163" t="s">
        <v>6454</v>
      </c>
      <c r="C82" s="168" t="s">
        <v>6453</v>
      </c>
      <c r="D82" s="163" t="s">
        <v>6454</v>
      </c>
      <c r="E82" s="166" t="b">
        <f t="shared" ref="E82:F82" si="81">eq(C82,A82)</f>
        <v>1</v>
      </c>
      <c r="F82" s="166" t="b">
        <f t="shared" si="81"/>
        <v>1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  <col customWidth="1" min="4" max="4" width="5.38"/>
  </cols>
  <sheetData>
    <row r="1">
      <c r="A1" s="61" t="s">
        <v>6103</v>
      </c>
      <c r="B1" s="158" t="s">
        <v>8</v>
      </c>
      <c r="C1" s="61" t="s">
        <v>9</v>
      </c>
      <c r="D1" s="61" t="s">
        <v>6144</v>
      </c>
    </row>
    <row r="2">
      <c r="A2" s="61" t="s">
        <v>6455</v>
      </c>
      <c r="B2" s="158"/>
      <c r="C2" s="158"/>
      <c r="D2" s="158" t="s">
        <v>6108</v>
      </c>
    </row>
    <row r="3">
      <c r="A3" s="61" t="s">
        <v>6456</v>
      </c>
      <c r="B3" s="158"/>
      <c r="C3" s="158"/>
      <c r="D3" s="158" t="s">
        <v>6107</v>
      </c>
    </row>
    <row r="4">
      <c r="A4" s="61" t="s">
        <v>6457</v>
      </c>
      <c r="B4" s="158"/>
      <c r="C4" s="158"/>
      <c r="D4" s="158" t="s">
        <v>6111</v>
      </c>
    </row>
    <row r="5">
      <c r="B5" s="158"/>
      <c r="C5" s="158"/>
      <c r="D5" s="158"/>
    </row>
    <row r="6">
      <c r="B6" s="158"/>
      <c r="C6" s="158"/>
      <c r="D6" s="158"/>
    </row>
    <row r="7">
      <c r="B7" s="158"/>
      <c r="C7" s="158"/>
      <c r="D7" s="158"/>
    </row>
    <row r="8">
      <c r="B8" s="158"/>
      <c r="C8" s="158"/>
      <c r="D8" s="158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3.38"/>
    <col customWidth="1" min="2" max="2" width="3.13"/>
    <col customWidth="1" min="3" max="3" width="3.5"/>
    <col customWidth="1" min="4" max="4" width="5.38"/>
  </cols>
  <sheetData>
    <row r="1">
      <c r="A1" s="61" t="s">
        <v>6103</v>
      </c>
      <c r="B1" s="158" t="s">
        <v>8</v>
      </c>
      <c r="C1" s="61" t="s">
        <v>9</v>
      </c>
      <c r="D1" s="61" t="s">
        <v>6144</v>
      </c>
    </row>
    <row r="2">
      <c r="A2" s="61" t="s">
        <v>6458</v>
      </c>
      <c r="B2" s="158" t="s">
        <v>6107</v>
      </c>
      <c r="C2" s="158" t="s">
        <v>6107</v>
      </c>
      <c r="D2" s="158" t="s">
        <v>6108</v>
      </c>
    </row>
    <row r="3">
      <c r="A3" s="61" t="s">
        <v>6459</v>
      </c>
      <c r="B3" s="158" t="s">
        <v>6111</v>
      </c>
      <c r="C3" s="158" t="s">
        <v>6111</v>
      </c>
      <c r="D3" s="158" t="s">
        <v>6107</v>
      </c>
    </row>
    <row r="4">
      <c r="A4" s="61" t="s">
        <v>6460</v>
      </c>
      <c r="B4" s="158"/>
      <c r="C4" s="158"/>
      <c r="D4" s="158" t="s">
        <v>6111</v>
      </c>
    </row>
    <row r="5">
      <c r="A5" s="61" t="s">
        <v>6461</v>
      </c>
      <c r="B5" s="158"/>
      <c r="C5" s="158"/>
      <c r="D5" s="158" t="s">
        <v>6114</v>
      </c>
    </row>
    <row r="6">
      <c r="A6" s="61" t="s">
        <v>6462</v>
      </c>
      <c r="B6" s="158"/>
      <c r="C6" s="158"/>
      <c r="D6" s="158" t="s">
        <v>6129</v>
      </c>
    </row>
    <row r="7">
      <c r="B7" s="158"/>
      <c r="C7" s="158"/>
      <c r="D7" s="158"/>
    </row>
    <row r="8">
      <c r="B8" s="158"/>
      <c r="C8" s="158"/>
      <c r="D8" s="158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88"/>
    <col customWidth="1" min="3" max="3" width="12.88"/>
  </cols>
  <sheetData>
    <row r="1">
      <c r="A1" s="61" t="s">
        <v>6103</v>
      </c>
      <c r="B1" s="61" t="s">
        <v>8</v>
      </c>
      <c r="C1" s="61" t="s">
        <v>9</v>
      </c>
    </row>
    <row r="2">
      <c r="A2" s="167" t="s">
        <v>6463</v>
      </c>
      <c r="B2" s="160" t="s">
        <v>6464</v>
      </c>
      <c r="C2" s="160" t="s">
        <v>6464</v>
      </c>
    </row>
    <row r="3">
      <c r="A3" s="168" t="s">
        <v>6465</v>
      </c>
      <c r="B3" s="163" t="s">
        <v>6466</v>
      </c>
      <c r="C3" s="163" t="s">
        <v>6466</v>
      </c>
    </row>
    <row r="4">
      <c r="A4" s="168" t="s">
        <v>6467</v>
      </c>
      <c r="B4" s="163" t="s">
        <v>6468</v>
      </c>
      <c r="C4" s="163" t="s">
        <v>6468</v>
      </c>
    </row>
    <row r="5">
      <c r="A5" s="168" t="s">
        <v>6469</v>
      </c>
      <c r="B5" s="163" t="s">
        <v>6470</v>
      </c>
      <c r="C5" s="163" t="s">
        <v>6470</v>
      </c>
    </row>
    <row r="6">
      <c r="A6" s="168" t="s">
        <v>6471</v>
      </c>
      <c r="B6" s="163" t="s">
        <v>6472</v>
      </c>
      <c r="C6" s="163" t="s">
        <v>6472</v>
      </c>
    </row>
    <row r="7">
      <c r="A7" s="168" t="s">
        <v>6473</v>
      </c>
      <c r="B7" s="163" t="s">
        <v>6474</v>
      </c>
      <c r="C7" s="163" t="s">
        <v>6474</v>
      </c>
    </row>
    <row r="8">
      <c r="A8" s="168" t="s">
        <v>6475</v>
      </c>
      <c r="B8" s="163" t="s">
        <v>6476</v>
      </c>
      <c r="C8" s="163" t="s">
        <v>6476</v>
      </c>
    </row>
    <row r="9">
      <c r="A9" s="168" t="s">
        <v>6477</v>
      </c>
      <c r="B9" s="163" t="s">
        <v>6478</v>
      </c>
      <c r="C9" s="163" t="s">
        <v>6478</v>
      </c>
    </row>
    <row r="10">
      <c r="A10" s="168" t="s">
        <v>6479</v>
      </c>
      <c r="B10" s="163" t="s">
        <v>6480</v>
      </c>
      <c r="C10" s="163" t="s">
        <v>6480</v>
      </c>
    </row>
    <row r="11">
      <c r="A11" s="168" t="s">
        <v>6481</v>
      </c>
      <c r="B11" s="163" t="s">
        <v>6335</v>
      </c>
      <c r="C11" s="163" t="s">
        <v>6335</v>
      </c>
    </row>
    <row r="12">
      <c r="A12" s="168" t="s">
        <v>6482</v>
      </c>
      <c r="B12" s="163" t="s">
        <v>6483</v>
      </c>
      <c r="C12" s="163" t="s">
        <v>6483</v>
      </c>
    </row>
    <row r="13">
      <c r="A13" s="168" t="s">
        <v>6484</v>
      </c>
      <c r="B13" s="163" t="s">
        <v>6485</v>
      </c>
      <c r="C13" s="163" t="s">
        <v>6485</v>
      </c>
    </row>
    <row r="14">
      <c r="A14" s="168" t="s">
        <v>6486</v>
      </c>
      <c r="B14" s="163" t="s">
        <v>6357</v>
      </c>
      <c r="C14" s="163" t="s">
        <v>6357</v>
      </c>
    </row>
    <row r="15">
      <c r="A15" s="168" t="s">
        <v>6487</v>
      </c>
      <c r="B15" s="163" t="s">
        <v>6488</v>
      </c>
      <c r="C15" s="163" t="s">
        <v>6488</v>
      </c>
    </row>
    <row r="16">
      <c r="A16" s="168" t="s">
        <v>2552</v>
      </c>
      <c r="B16" s="163" t="s">
        <v>6359</v>
      </c>
      <c r="C16" s="163" t="s">
        <v>6359</v>
      </c>
    </row>
    <row r="17">
      <c r="A17" s="168" t="s">
        <v>6489</v>
      </c>
      <c r="B17" s="163" t="s">
        <v>6490</v>
      </c>
      <c r="C17" s="163" t="s">
        <v>6490</v>
      </c>
    </row>
    <row r="18">
      <c r="A18" s="168" t="s">
        <v>6491</v>
      </c>
      <c r="B18" s="163" t="s">
        <v>6492</v>
      </c>
      <c r="C18" s="163" t="s">
        <v>6492</v>
      </c>
    </row>
    <row r="19">
      <c r="A19" s="168" t="s">
        <v>6493</v>
      </c>
      <c r="B19" s="163" t="s">
        <v>6494</v>
      </c>
      <c r="C19" s="163" t="s">
        <v>6494</v>
      </c>
    </row>
    <row r="20">
      <c r="A20" s="168" t="s">
        <v>6495</v>
      </c>
      <c r="B20" s="163" t="s">
        <v>6496</v>
      </c>
      <c r="C20" s="163" t="s">
        <v>6496</v>
      </c>
    </row>
    <row r="21">
      <c r="A21" s="168" t="s">
        <v>6497</v>
      </c>
      <c r="B21" s="163" t="s">
        <v>6498</v>
      </c>
      <c r="C21" s="163" t="s">
        <v>6498</v>
      </c>
    </row>
    <row r="22">
      <c r="A22" s="168" t="s">
        <v>6499</v>
      </c>
      <c r="B22" s="163" t="s">
        <v>6500</v>
      </c>
      <c r="C22" s="163" t="s">
        <v>6500</v>
      </c>
    </row>
    <row r="23">
      <c r="A23" s="168" t="s">
        <v>6501</v>
      </c>
      <c r="B23" s="163" t="s">
        <v>6430</v>
      </c>
      <c r="C23" s="163" t="s">
        <v>6430</v>
      </c>
    </row>
    <row r="24">
      <c r="A24" s="168" t="s">
        <v>6502</v>
      </c>
      <c r="B24" s="163" t="s">
        <v>6454</v>
      </c>
      <c r="C24" s="163" t="s">
        <v>6454</v>
      </c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9.25"/>
    <col customWidth="1" min="2" max="2" width="11.5"/>
  </cols>
  <sheetData>
    <row r="1">
      <c r="A1" s="61" t="s">
        <v>6103</v>
      </c>
      <c r="B1" s="61" t="s">
        <v>8</v>
      </c>
      <c r="C1" s="61" t="s">
        <v>9</v>
      </c>
    </row>
    <row r="2">
      <c r="A2" s="167" t="s">
        <v>6503</v>
      </c>
      <c r="B2" s="166"/>
      <c r="C2" s="160" t="s">
        <v>6301</v>
      </c>
    </row>
    <row r="3">
      <c r="A3" s="168" t="s">
        <v>6504</v>
      </c>
      <c r="B3" s="166"/>
      <c r="C3" s="163" t="s">
        <v>6303</v>
      </c>
    </row>
    <row r="4">
      <c r="A4" s="168" t="s">
        <v>6505</v>
      </c>
      <c r="B4" s="166"/>
      <c r="C4" s="163" t="s">
        <v>6506</v>
      </c>
    </row>
    <row r="5">
      <c r="A5" s="168" t="s">
        <v>6507</v>
      </c>
      <c r="B5" s="166"/>
      <c r="C5" s="163" t="s">
        <v>6305</v>
      </c>
    </row>
    <row r="6">
      <c r="A6" s="168" t="s">
        <v>6508</v>
      </c>
      <c r="B6" s="166"/>
      <c r="C6" s="163" t="s">
        <v>6307</v>
      </c>
    </row>
    <row r="7">
      <c r="A7" s="168" t="s">
        <v>6509</v>
      </c>
      <c r="B7" s="166"/>
      <c r="C7" s="163" t="s">
        <v>6510</v>
      </c>
    </row>
    <row r="8">
      <c r="A8" s="167" t="s">
        <v>6511</v>
      </c>
      <c r="B8" s="160" t="s">
        <v>6476</v>
      </c>
      <c r="C8" s="163" t="s">
        <v>6476</v>
      </c>
    </row>
    <row r="9">
      <c r="A9" s="168" t="s">
        <v>6512</v>
      </c>
      <c r="B9" s="163" t="s">
        <v>6478</v>
      </c>
      <c r="C9" s="163" t="s">
        <v>6478</v>
      </c>
    </row>
    <row r="10">
      <c r="A10" s="168" t="s">
        <v>6513</v>
      </c>
      <c r="B10" s="163" t="s">
        <v>6480</v>
      </c>
      <c r="C10" s="163" t="s">
        <v>6480</v>
      </c>
    </row>
    <row r="11">
      <c r="A11" s="168" t="s">
        <v>6514</v>
      </c>
      <c r="B11" s="163" t="s">
        <v>6335</v>
      </c>
      <c r="C11" s="163" t="s">
        <v>6335</v>
      </c>
    </row>
    <row r="12">
      <c r="A12" s="168" t="s">
        <v>6515</v>
      </c>
      <c r="B12" s="163" t="s">
        <v>6483</v>
      </c>
      <c r="C12" s="163" t="s">
        <v>6483</v>
      </c>
    </row>
    <row r="13">
      <c r="A13" s="168" t="s">
        <v>6516</v>
      </c>
      <c r="B13" s="163" t="s">
        <v>6517</v>
      </c>
      <c r="C13" s="163" t="s">
        <v>6517</v>
      </c>
    </row>
    <row r="14">
      <c r="A14" s="168" t="s">
        <v>6518</v>
      </c>
      <c r="B14" s="163" t="s">
        <v>6357</v>
      </c>
      <c r="C14" s="163" t="s">
        <v>6357</v>
      </c>
    </row>
    <row r="15">
      <c r="A15" s="168" t="s">
        <v>6519</v>
      </c>
      <c r="B15" s="163" t="s">
        <v>6488</v>
      </c>
      <c r="C15" s="163" t="s">
        <v>6488</v>
      </c>
    </row>
    <row r="16">
      <c r="A16" s="168" t="s">
        <v>6520</v>
      </c>
      <c r="B16" s="163" t="s">
        <v>6359</v>
      </c>
      <c r="C16" s="163" t="s">
        <v>6359</v>
      </c>
    </row>
    <row r="17">
      <c r="A17" s="168" t="s">
        <v>6521</v>
      </c>
      <c r="B17" s="163" t="s">
        <v>6522</v>
      </c>
      <c r="C17" s="163" t="s">
        <v>6522</v>
      </c>
    </row>
    <row r="18">
      <c r="A18" s="168" t="s">
        <v>6523</v>
      </c>
      <c r="B18" s="163" t="s">
        <v>6524</v>
      </c>
      <c r="C18" s="163" t="s">
        <v>6524</v>
      </c>
    </row>
    <row r="19">
      <c r="A19" s="168" t="s">
        <v>6525</v>
      </c>
      <c r="B19" s="163" t="s">
        <v>6526</v>
      </c>
      <c r="C19" s="163" t="s">
        <v>6526</v>
      </c>
    </row>
    <row r="20">
      <c r="A20" s="168" t="s">
        <v>6527</v>
      </c>
      <c r="B20" s="163" t="s">
        <v>6528</v>
      </c>
      <c r="C20" s="163" t="s">
        <v>6528</v>
      </c>
    </row>
    <row r="21">
      <c r="A21" s="168" t="s">
        <v>6529</v>
      </c>
      <c r="B21" s="163" t="s">
        <v>6530</v>
      </c>
      <c r="C21" s="163" t="s">
        <v>6530</v>
      </c>
    </row>
    <row r="22">
      <c r="A22" s="168" t="s">
        <v>6531</v>
      </c>
      <c r="B22" s="163" t="s">
        <v>6532</v>
      </c>
      <c r="C22" s="163" t="s">
        <v>6532</v>
      </c>
    </row>
    <row r="23">
      <c r="A23" s="168" t="s">
        <v>6533</v>
      </c>
      <c r="B23" s="163" t="s">
        <v>6534</v>
      </c>
      <c r="C23" s="163" t="s">
        <v>6534</v>
      </c>
    </row>
    <row r="24">
      <c r="A24" s="168" t="s">
        <v>6535</v>
      </c>
      <c r="B24" s="163" t="s">
        <v>6536</v>
      </c>
      <c r="C24" s="163" t="s">
        <v>6536</v>
      </c>
    </row>
    <row r="25">
      <c r="A25" s="168" t="s">
        <v>6537</v>
      </c>
      <c r="B25" s="163" t="s">
        <v>6490</v>
      </c>
      <c r="C25" s="163" t="s">
        <v>6490</v>
      </c>
    </row>
    <row r="26">
      <c r="A26" s="168" t="s">
        <v>6538</v>
      </c>
      <c r="B26" s="163" t="s">
        <v>6492</v>
      </c>
      <c r="C26" s="163" t="s">
        <v>6492</v>
      </c>
    </row>
    <row r="27">
      <c r="A27" s="168" t="s">
        <v>6539</v>
      </c>
      <c r="B27" s="163" t="s">
        <v>6494</v>
      </c>
      <c r="C27" s="163" t="s">
        <v>6494</v>
      </c>
    </row>
    <row r="28">
      <c r="A28" s="168" t="s">
        <v>6540</v>
      </c>
      <c r="B28" s="163" t="s">
        <v>6541</v>
      </c>
      <c r="C28" s="163" t="s">
        <v>6541</v>
      </c>
    </row>
    <row r="29">
      <c r="A29" s="168" t="s">
        <v>6542</v>
      </c>
      <c r="B29" s="163" t="s">
        <v>6543</v>
      </c>
      <c r="C29" s="163" t="s">
        <v>6543</v>
      </c>
    </row>
    <row r="30">
      <c r="A30" s="168" t="s">
        <v>6544</v>
      </c>
      <c r="B30" s="163" t="s">
        <v>6496</v>
      </c>
      <c r="C30" s="163" t="s">
        <v>6496</v>
      </c>
    </row>
    <row r="31">
      <c r="A31" s="168" t="s">
        <v>6545</v>
      </c>
      <c r="B31" s="163" t="s">
        <v>6498</v>
      </c>
      <c r="C31" s="163" t="s">
        <v>6498</v>
      </c>
    </row>
    <row r="32">
      <c r="A32" s="168" t="s">
        <v>6546</v>
      </c>
      <c r="B32" s="163" t="s">
        <v>6547</v>
      </c>
      <c r="C32" s="163" t="s">
        <v>6547</v>
      </c>
    </row>
    <row r="33">
      <c r="A33" s="168" t="s">
        <v>6548</v>
      </c>
      <c r="B33" s="163" t="s">
        <v>6549</v>
      </c>
      <c r="C33" s="163" t="s">
        <v>6549</v>
      </c>
    </row>
    <row r="34">
      <c r="A34" s="168" t="s">
        <v>6550</v>
      </c>
      <c r="B34" s="163" t="s">
        <v>6500</v>
      </c>
      <c r="C34" s="163" t="s">
        <v>6500</v>
      </c>
    </row>
    <row r="35">
      <c r="A35" s="168" t="s">
        <v>6551</v>
      </c>
      <c r="B35" s="163" t="s">
        <v>6552</v>
      </c>
      <c r="C35" s="163" t="s">
        <v>6552</v>
      </c>
    </row>
    <row r="36">
      <c r="A36" s="168" t="s">
        <v>6553</v>
      </c>
      <c r="B36" s="163" t="s">
        <v>6554</v>
      </c>
      <c r="C36" s="163" t="s">
        <v>6554</v>
      </c>
    </row>
    <row r="37">
      <c r="A37" s="168" t="s">
        <v>6555</v>
      </c>
      <c r="B37" s="163" t="s">
        <v>6556</v>
      </c>
      <c r="C37" s="163" t="s">
        <v>6556</v>
      </c>
    </row>
    <row r="38">
      <c r="A38" s="168" t="s">
        <v>6557</v>
      </c>
      <c r="B38" s="163" t="s">
        <v>6558</v>
      </c>
      <c r="C38" s="163" t="s">
        <v>6558</v>
      </c>
    </row>
    <row r="39">
      <c r="A39" s="168" t="s">
        <v>6559</v>
      </c>
      <c r="B39" s="163" t="s">
        <v>6560</v>
      </c>
      <c r="C39" s="163" t="s">
        <v>6560</v>
      </c>
    </row>
    <row r="40">
      <c r="A40" s="168" t="s">
        <v>6561</v>
      </c>
      <c r="B40" s="163" t="s">
        <v>6395</v>
      </c>
      <c r="C40" s="163" t="s">
        <v>6395</v>
      </c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61" t="s">
        <v>8</v>
      </c>
      <c r="C1" s="61" t="s">
        <v>9</v>
      </c>
    </row>
    <row r="2">
      <c r="A2" s="167" t="s">
        <v>6562</v>
      </c>
      <c r="B2" s="160" t="s">
        <v>6108</v>
      </c>
      <c r="C2" s="160" t="s">
        <v>6108</v>
      </c>
    </row>
    <row r="3">
      <c r="A3" s="168" t="s">
        <v>6563</v>
      </c>
      <c r="B3" s="163" t="s">
        <v>6107</v>
      </c>
      <c r="C3" s="163" t="s">
        <v>6107</v>
      </c>
    </row>
    <row r="4">
      <c r="A4" s="168" t="s">
        <v>6564</v>
      </c>
      <c r="B4" s="163" t="s">
        <v>6111</v>
      </c>
      <c r="C4" s="163" t="s">
        <v>6111</v>
      </c>
    </row>
    <row r="5">
      <c r="A5" s="168" t="s">
        <v>6565</v>
      </c>
      <c r="B5" s="163" t="s">
        <v>6114</v>
      </c>
      <c r="C5" s="163" t="s">
        <v>6114</v>
      </c>
    </row>
    <row r="6">
      <c r="A6" s="168" t="s">
        <v>6566</v>
      </c>
      <c r="B6" s="163" t="s">
        <v>6129</v>
      </c>
      <c r="C6" s="163" t="s">
        <v>6129</v>
      </c>
    </row>
    <row r="7">
      <c r="A7" s="168" t="s">
        <v>6567</v>
      </c>
      <c r="B7" s="163" t="s">
        <v>6171</v>
      </c>
      <c r="C7" s="163" t="s">
        <v>6171</v>
      </c>
    </row>
    <row r="8">
      <c r="A8" s="168" t="s">
        <v>6568</v>
      </c>
      <c r="B8" s="163" t="s">
        <v>6173</v>
      </c>
      <c r="C8" s="163" t="s">
        <v>6173</v>
      </c>
    </row>
    <row r="9">
      <c r="A9" s="168" t="s">
        <v>6569</v>
      </c>
      <c r="B9" s="163" t="s">
        <v>6175</v>
      </c>
      <c r="C9" s="163" t="s">
        <v>6175</v>
      </c>
    </row>
    <row r="10">
      <c r="A10" s="168" t="s">
        <v>6570</v>
      </c>
      <c r="B10" s="163" t="s">
        <v>6176</v>
      </c>
      <c r="C10" s="163" t="s">
        <v>6176</v>
      </c>
    </row>
    <row r="11">
      <c r="A11" s="168" t="s">
        <v>6294</v>
      </c>
      <c r="B11" s="163" t="s">
        <v>6181</v>
      </c>
      <c r="C11" s="163" t="s">
        <v>6181</v>
      </c>
    </row>
    <row r="12">
      <c r="A12" s="168"/>
      <c r="B12" s="163"/>
    </row>
    <row r="13">
      <c r="A13" s="168"/>
      <c r="B13" s="163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61" t="s">
        <v>8</v>
      </c>
      <c r="C1" s="61" t="s">
        <v>9</v>
      </c>
    </row>
    <row r="2">
      <c r="A2" s="167" t="s">
        <v>6571</v>
      </c>
      <c r="B2" s="160" t="s">
        <v>6572</v>
      </c>
    </row>
    <row r="3">
      <c r="A3" s="168" t="s">
        <v>6573</v>
      </c>
      <c r="B3" s="163" t="s">
        <v>6574</v>
      </c>
    </row>
    <row r="4">
      <c r="A4" s="168" t="s">
        <v>6575</v>
      </c>
      <c r="B4" s="163" t="s">
        <v>6576</v>
      </c>
    </row>
    <row r="5">
      <c r="A5" s="168" t="s">
        <v>6577</v>
      </c>
      <c r="B5" s="163" t="s">
        <v>6578</v>
      </c>
    </row>
    <row r="6">
      <c r="A6" s="168" t="s">
        <v>6563</v>
      </c>
      <c r="B6" s="163" t="s">
        <v>6579</v>
      </c>
    </row>
    <row r="7">
      <c r="A7" s="168" t="s">
        <v>6294</v>
      </c>
      <c r="B7" s="163" t="s">
        <v>6580</v>
      </c>
    </row>
    <row r="8">
      <c r="A8" s="167" t="s">
        <v>6571</v>
      </c>
      <c r="B8" s="169" t="s">
        <v>6107</v>
      </c>
      <c r="C8" s="160" t="s">
        <v>6107</v>
      </c>
    </row>
    <row r="9">
      <c r="A9" s="168" t="s">
        <v>6573</v>
      </c>
      <c r="B9" s="170" t="s">
        <v>6111</v>
      </c>
      <c r="C9" s="163" t="s">
        <v>6111</v>
      </c>
    </row>
    <row r="10">
      <c r="A10" s="168" t="s">
        <v>6575</v>
      </c>
      <c r="B10" s="170" t="s">
        <v>6114</v>
      </c>
      <c r="C10" s="163" t="s">
        <v>6114</v>
      </c>
    </row>
    <row r="11">
      <c r="A11" s="168" t="s">
        <v>6577</v>
      </c>
      <c r="B11" s="170" t="s">
        <v>6129</v>
      </c>
      <c r="C11" s="163" t="s">
        <v>6129</v>
      </c>
    </row>
    <row r="12">
      <c r="A12" s="168" t="s">
        <v>6563</v>
      </c>
      <c r="B12" s="170" t="s">
        <v>6171</v>
      </c>
      <c r="C12" s="163" t="s">
        <v>6171</v>
      </c>
    </row>
    <row r="13">
      <c r="A13" s="168" t="s">
        <v>6581</v>
      </c>
      <c r="B13" s="170"/>
      <c r="C13" s="163" t="s">
        <v>6173</v>
      </c>
    </row>
    <row r="14">
      <c r="A14" s="168" t="s">
        <v>6294</v>
      </c>
      <c r="B14" s="170" t="s">
        <v>6181</v>
      </c>
      <c r="C14" s="163" t="s">
        <v>6181</v>
      </c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61" t="s">
        <v>8</v>
      </c>
      <c r="C1" s="61" t="s">
        <v>9</v>
      </c>
    </row>
    <row r="2">
      <c r="A2" s="167" t="s">
        <v>6582</v>
      </c>
      <c r="B2" s="160" t="s">
        <v>6572</v>
      </c>
    </row>
    <row r="3">
      <c r="A3" s="168" t="s">
        <v>6583</v>
      </c>
      <c r="B3" s="163" t="s">
        <v>6574</v>
      </c>
    </row>
    <row r="4">
      <c r="A4" s="168" t="s">
        <v>6582</v>
      </c>
      <c r="B4" s="163" t="s">
        <v>6107</v>
      </c>
      <c r="C4" s="160" t="s">
        <v>6107</v>
      </c>
    </row>
    <row r="5">
      <c r="A5" s="168" t="s">
        <v>6583</v>
      </c>
      <c r="B5" s="163" t="s">
        <v>6111</v>
      </c>
      <c r="C5" s="163" t="s">
        <v>6111</v>
      </c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1" t="s">
        <v>6103</v>
      </c>
      <c r="B1" s="61" t="s">
        <v>8</v>
      </c>
      <c r="D1" s="61" t="s">
        <v>9</v>
      </c>
      <c r="E1" s="61" t="s">
        <v>6212</v>
      </c>
      <c r="F1" s="61" t="s">
        <v>6213</v>
      </c>
    </row>
    <row r="2">
      <c r="A2" s="167" t="s">
        <v>6584</v>
      </c>
      <c r="B2" s="160" t="s">
        <v>6572</v>
      </c>
    </row>
    <row r="3">
      <c r="A3" s="168" t="s">
        <v>6585</v>
      </c>
      <c r="B3" s="163" t="s">
        <v>6574</v>
      </c>
    </row>
    <row r="4">
      <c r="A4" s="168" t="s">
        <v>6294</v>
      </c>
      <c r="B4" s="163" t="s">
        <v>6580</v>
      </c>
    </row>
    <row r="5">
      <c r="A5" s="168" t="s">
        <v>6584</v>
      </c>
      <c r="B5" s="163" t="s">
        <v>6107</v>
      </c>
      <c r="C5" s="167" t="s">
        <v>6584</v>
      </c>
      <c r="D5" s="160" t="s">
        <v>6107</v>
      </c>
      <c r="E5" s="166" t="b">
        <f t="shared" ref="E5:F5" si="1">eq(A5,C5)</f>
        <v>1</v>
      </c>
      <c r="F5" s="166" t="b">
        <f t="shared" si="1"/>
        <v>1</v>
      </c>
    </row>
    <row r="6">
      <c r="A6" s="168" t="s">
        <v>6585</v>
      </c>
      <c r="B6" s="163" t="s">
        <v>6111</v>
      </c>
      <c r="C6" s="168" t="s">
        <v>6585</v>
      </c>
      <c r="D6" s="163" t="s">
        <v>6111</v>
      </c>
      <c r="E6" s="166" t="b">
        <f t="shared" ref="E6:F6" si="2">eq(A6,C6)</f>
        <v>1</v>
      </c>
      <c r="F6" s="166" t="b">
        <f t="shared" si="2"/>
        <v>1</v>
      </c>
    </row>
    <row r="7">
      <c r="A7" s="168" t="s">
        <v>6294</v>
      </c>
      <c r="B7" s="163" t="s">
        <v>6181</v>
      </c>
      <c r="C7" s="168" t="s">
        <v>6294</v>
      </c>
      <c r="D7" s="163" t="s">
        <v>6181</v>
      </c>
      <c r="E7" s="166" t="b">
        <f t="shared" ref="E7:F7" si="3">eq(A7,C7)</f>
        <v>1</v>
      </c>
      <c r="F7" s="166" t="b">
        <f t="shared" si="3"/>
        <v>1</v>
      </c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38"/>
    <col customWidth="1" min="2" max="2" width="3.13"/>
    <col customWidth="1" min="3" max="3" width="3.5"/>
  </cols>
  <sheetData>
    <row r="1">
      <c r="A1" s="61" t="s">
        <v>6103</v>
      </c>
      <c r="B1" s="158" t="s">
        <v>8</v>
      </c>
      <c r="C1" s="158" t="s">
        <v>9</v>
      </c>
    </row>
    <row r="2">
      <c r="A2" s="171" t="s">
        <v>6586</v>
      </c>
      <c r="B2" s="169" t="s">
        <v>6108</v>
      </c>
      <c r="C2" s="158" t="s">
        <v>6108</v>
      </c>
    </row>
    <row r="3">
      <c r="A3" s="172" t="s">
        <v>6587</v>
      </c>
      <c r="B3" s="170" t="s">
        <v>6107</v>
      </c>
      <c r="C3" s="158" t="s">
        <v>6107</v>
      </c>
    </row>
    <row r="4">
      <c r="A4" s="172" t="s">
        <v>6588</v>
      </c>
      <c r="B4" s="170" t="s">
        <v>6111</v>
      </c>
      <c r="C4" s="158" t="s">
        <v>6111</v>
      </c>
    </row>
    <row r="5">
      <c r="A5" s="172" t="s">
        <v>6589</v>
      </c>
      <c r="B5" s="170" t="s">
        <v>6114</v>
      </c>
      <c r="C5" s="169" t="s">
        <v>6114</v>
      </c>
    </row>
    <row r="6">
      <c r="A6" s="172" t="s">
        <v>6590</v>
      </c>
      <c r="B6" s="170" t="s">
        <v>6129</v>
      </c>
      <c r="C6" s="170" t="s">
        <v>6129</v>
      </c>
    </row>
    <row r="7">
      <c r="A7" s="172" t="s">
        <v>6591</v>
      </c>
      <c r="B7" s="170" t="s">
        <v>6171</v>
      </c>
      <c r="C7" s="170" t="s">
        <v>6171</v>
      </c>
    </row>
    <row r="8">
      <c r="A8" s="61" t="s">
        <v>6592</v>
      </c>
      <c r="B8" s="159"/>
      <c r="C8" s="158" t="s">
        <v>6173</v>
      </c>
    </row>
    <row r="9">
      <c r="B9" s="159"/>
      <c r="C9" s="15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6118</v>
      </c>
      <c r="B3" s="158" t="s">
        <v>6111</v>
      </c>
      <c r="C3" s="158" t="s">
        <v>6111</v>
      </c>
      <c r="D3" s="158" t="s">
        <v>6111</v>
      </c>
      <c r="E3" s="158" t="s">
        <v>6111</v>
      </c>
    </row>
    <row r="4">
      <c r="A4" s="61" t="s">
        <v>6119</v>
      </c>
      <c r="B4" s="158" t="s">
        <v>6114</v>
      </c>
      <c r="C4" s="158" t="s">
        <v>6114</v>
      </c>
      <c r="D4" s="158" t="s">
        <v>6114</v>
      </c>
      <c r="E4" s="158" t="s">
        <v>6114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5"/>
    <col customWidth="1" min="2" max="2" width="3.13"/>
    <col customWidth="1" min="3" max="3" width="3.5"/>
  </cols>
  <sheetData>
    <row r="1">
      <c r="A1" s="61" t="s">
        <v>6103</v>
      </c>
      <c r="B1" s="158" t="s">
        <v>8</v>
      </c>
      <c r="C1" s="158" t="s">
        <v>9</v>
      </c>
    </row>
    <row r="2">
      <c r="A2" s="171" t="s">
        <v>6593</v>
      </c>
      <c r="B2" s="170"/>
      <c r="C2" s="158" t="s">
        <v>6107</v>
      </c>
    </row>
    <row r="3">
      <c r="A3" s="172" t="s">
        <v>6594</v>
      </c>
      <c r="B3" s="170"/>
      <c r="C3" s="158" t="s">
        <v>6111</v>
      </c>
    </row>
    <row r="4">
      <c r="A4" s="172" t="s">
        <v>2567</v>
      </c>
      <c r="B4" s="170"/>
      <c r="C4" s="169" t="s">
        <v>6181</v>
      </c>
    </row>
    <row r="5">
      <c r="B5" s="159"/>
      <c r="C5" s="159"/>
    </row>
    <row r="6">
      <c r="B6" s="159"/>
      <c r="C6" s="159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0"/>
    <col customWidth="1" min="2" max="2" width="3.13"/>
    <col customWidth="1" min="3" max="3" width="3.5"/>
  </cols>
  <sheetData>
    <row r="1">
      <c r="A1" s="61" t="s">
        <v>6103</v>
      </c>
      <c r="B1" s="158" t="s">
        <v>8</v>
      </c>
      <c r="C1" s="158" t="s">
        <v>9</v>
      </c>
    </row>
    <row r="2">
      <c r="A2" s="171" t="s">
        <v>2537</v>
      </c>
      <c r="B2" s="170"/>
      <c r="C2" s="158" t="s">
        <v>6107</v>
      </c>
    </row>
    <row r="3">
      <c r="A3" s="172" t="s">
        <v>2542</v>
      </c>
      <c r="B3" s="170"/>
      <c r="C3" s="158" t="s">
        <v>6111</v>
      </c>
    </row>
    <row r="4">
      <c r="A4" s="172" t="s">
        <v>6595</v>
      </c>
      <c r="B4" s="170"/>
      <c r="C4" s="169" t="s">
        <v>6114</v>
      </c>
    </row>
    <row r="5">
      <c r="A5" s="172" t="s">
        <v>2552</v>
      </c>
      <c r="B5" s="170"/>
      <c r="C5" s="170" t="s">
        <v>6129</v>
      </c>
    </row>
    <row r="6">
      <c r="A6" s="172" t="s">
        <v>6596</v>
      </c>
      <c r="B6" s="170"/>
      <c r="C6" s="170" t="s">
        <v>6171</v>
      </c>
    </row>
    <row r="7">
      <c r="A7" s="61" t="s">
        <v>6597</v>
      </c>
      <c r="C7" s="158" t="s">
        <v>6173</v>
      </c>
    </row>
    <row r="8">
      <c r="A8" s="61" t="s">
        <v>6598</v>
      </c>
      <c r="C8" s="158" t="s">
        <v>6175</v>
      </c>
    </row>
    <row r="9">
      <c r="A9" s="61" t="s">
        <v>2567</v>
      </c>
      <c r="C9" s="158" t="s">
        <v>6181</v>
      </c>
    </row>
    <row r="10">
      <c r="B10" s="159"/>
      <c r="C10" s="159"/>
    </row>
    <row r="11">
      <c r="B11" s="159"/>
      <c r="C11" s="159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6599</v>
      </c>
      <c r="B2" s="161" t="s">
        <v>6215</v>
      </c>
      <c r="C2" s="161" t="s">
        <v>6215</v>
      </c>
    </row>
    <row r="3">
      <c r="A3" s="173" t="s">
        <v>6600</v>
      </c>
      <c r="B3" s="164" t="s">
        <v>6217</v>
      </c>
      <c r="C3" s="164" t="s">
        <v>6217</v>
      </c>
    </row>
    <row r="4">
      <c r="A4" s="158" t="s">
        <v>6601</v>
      </c>
      <c r="B4" s="164" t="s">
        <v>6219</v>
      </c>
      <c r="C4" s="164" t="s">
        <v>6219</v>
      </c>
    </row>
    <row r="5">
      <c r="A5" s="158" t="s">
        <v>6602</v>
      </c>
      <c r="B5" s="164" t="s">
        <v>6221</v>
      </c>
      <c r="C5" s="164" t="s">
        <v>6221</v>
      </c>
    </row>
    <row r="6">
      <c r="A6" s="158" t="s">
        <v>6603</v>
      </c>
      <c r="B6" s="164" t="s">
        <v>6223</v>
      </c>
      <c r="C6" s="164" t="s">
        <v>6223</v>
      </c>
    </row>
    <row r="7">
      <c r="A7" s="158" t="s">
        <v>6604</v>
      </c>
      <c r="B7" s="164" t="s">
        <v>6225</v>
      </c>
      <c r="C7" s="164" t="s">
        <v>6225</v>
      </c>
    </row>
    <row r="8">
      <c r="A8" s="158" t="s">
        <v>6605</v>
      </c>
      <c r="B8" s="164" t="s">
        <v>6227</v>
      </c>
      <c r="C8" s="164" t="s">
        <v>6227</v>
      </c>
    </row>
    <row r="9">
      <c r="A9" s="158" t="s">
        <v>6606</v>
      </c>
      <c r="B9" s="164" t="s">
        <v>6229</v>
      </c>
      <c r="C9" s="164" t="s">
        <v>6229</v>
      </c>
    </row>
    <row r="10">
      <c r="A10" s="158" t="s">
        <v>6607</v>
      </c>
      <c r="B10" s="164" t="s">
        <v>6231</v>
      </c>
      <c r="C10" s="164" t="s">
        <v>6231</v>
      </c>
    </row>
    <row r="11">
      <c r="A11" s="158" t="s">
        <v>6608</v>
      </c>
      <c r="B11" s="164" t="s">
        <v>6609</v>
      </c>
      <c r="C11" s="164" t="s">
        <v>6609</v>
      </c>
    </row>
    <row r="12">
      <c r="A12" s="158" t="s">
        <v>6610</v>
      </c>
      <c r="B12" s="164" t="s">
        <v>6611</v>
      </c>
      <c r="C12" s="164" t="s">
        <v>6611</v>
      </c>
    </row>
    <row r="13">
      <c r="A13" s="158" t="s">
        <v>6612</v>
      </c>
      <c r="B13" s="164" t="s">
        <v>6613</v>
      </c>
      <c r="C13" s="164" t="s">
        <v>6613</v>
      </c>
    </row>
    <row r="14">
      <c r="A14" s="158" t="s">
        <v>6614</v>
      </c>
      <c r="B14" s="164" t="s">
        <v>6615</v>
      </c>
      <c r="C14" s="164" t="s">
        <v>6615</v>
      </c>
    </row>
    <row r="15">
      <c r="A15" s="158" t="s">
        <v>6616</v>
      </c>
      <c r="B15" s="164" t="s">
        <v>6617</v>
      </c>
      <c r="C15" s="164" t="s">
        <v>6617</v>
      </c>
    </row>
    <row r="16">
      <c r="A16" s="158" t="s">
        <v>6618</v>
      </c>
      <c r="B16" s="164" t="s">
        <v>6619</v>
      </c>
      <c r="C16" s="164" t="s">
        <v>6619</v>
      </c>
    </row>
    <row r="17">
      <c r="A17" s="158" t="s">
        <v>6620</v>
      </c>
      <c r="B17" s="164" t="s">
        <v>6621</v>
      </c>
      <c r="C17" s="164" t="s">
        <v>6621</v>
      </c>
    </row>
    <row r="18">
      <c r="A18" s="158" t="s">
        <v>6622</v>
      </c>
      <c r="B18" s="164" t="s">
        <v>6623</v>
      </c>
      <c r="C18" s="164" t="s">
        <v>6623</v>
      </c>
    </row>
    <row r="19">
      <c r="A19" s="158" t="s">
        <v>6624</v>
      </c>
      <c r="B19" s="164" t="s">
        <v>6625</v>
      </c>
      <c r="C19" s="164" t="s">
        <v>6625</v>
      </c>
    </row>
    <row r="20">
      <c r="A20" s="158" t="s">
        <v>6626</v>
      </c>
      <c r="B20" s="164" t="s">
        <v>6627</v>
      </c>
      <c r="C20" s="164" t="s">
        <v>6627</v>
      </c>
    </row>
    <row r="21">
      <c r="A21" s="158" t="s">
        <v>6628</v>
      </c>
      <c r="B21" s="164" t="s">
        <v>6233</v>
      </c>
      <c r="C21" s="164" t="s">
        <v>6233</v>
      </c>
    </row>
    <row r="22">
      <c r="A22" s="158" t="s">
        <v>6629</v>
      </c>
      <c r="B22" s="164" t="s">
        <v>6235</v>
      </c>
      <c r="C22" s="164" t="s">
        <v>6235</v>
      </c>
    </row>
    <row r="23">
      <c r="A23" s="158" t="s">
        <v>3295</v>
      </c>
      <c r="B23" s="164" t="s">
        <v>6237</v>
      </c>
      <c r="C23" s="164" t="s">
        <v>6237</v>
      </c>
    </row>
    <row r="24">
      <c r="A24" s="158" t="s">
        <v>3248</v>
      </c>
      <c r="B24" s="164" t="s">
        <v>6239</v>
      </c>
      <c r="C24" s="164" t="s">
        <v>6239</v>
      </c>
    </row>
    <row r="25">
      <c r="A25" s="158" t="s">
        <v>6630</v>
      </c>
      <c r="B25" s="164" t="s">
        <v>6241</v>
      </c>
      <c r="C25" s="164" t="s">
        <v>6241</v>
      </c>
    </row>
    <row r="26">
      <c r="A26" s="158" t="s">
        <v>6631</v>
      </c>
      <c r="B26" s="164" t="s">
        <v>6243</v>
      </c>
      <c r="C26" s="164" t="s">
        <v>6243</v>
      </c>
    </row>
    <row r="27">
      <c r="A27" s="158" t="s">
        <v>2567</v>
      </c>
      <c r="B27" s="164" t="s">
        <v>6245</v>
      </c>
      <c r="C27" s="164" t="s">
        <v>6245</v>
      </c>
    </row>
    <row r="28">
      <c r="A28" s="158" t="s">
        <v>5919</v>
      </c>
      <c r="B28" s="164" t="s">
        <v>6247</v>
      </c>
      <c r="C28" s="164" t="s">
        <v>6247</v>
      </c>
    </row>
    <row r="29">
      <c r="A29" s="158"/>
      <c r="B29" s="158"/>
      <c r="C29" s="158"/>
    </row>
    <row r="30">
      <c r="A30" s="158"/>
      <c r="B30" s="158"/>
      <c r="C30" s="158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</cols>
  <sheetData>
    <row r="1">
      <c r="A1" s="158" t="s">
        <v>6103</v>
      </c>
      <c r="B1" s="158" t="s">
        <v>8</v>
      </c>
      <c r="C1" s="158" t="s">
        <v>9</v>
      </c>
    </row>
    <row r="2">
      <c r="A2" s="173"/>
      <c r="B2" s="169"/>
      <c r="C2" s="169"/>
    </row>
    <row r="3">
      <c r="A3" s="173"/>
      <c r="B3" s="170"/>
      <c r="C3" s="170"/>
    </row>
    <row r="4">
      <c r="A4" s="158"/>
      <c r="B4" s="164"/>
      <c r="C4" s="170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6632</v>
      </c>
      <c r="B2" s="169"/>
      <c r="C2" s="169" t="s">
        <v>6633</v>
      </c>
    </row>
    <row r="3">
      <c r="A3" s="173" t="s">
        <v>6632</v>
      </c>
      <c r="B3" s="170"/>
      <c r="C3" s="61">
        <v>1.0</v>
      </c>
    </row>
    <row r="4">
      <c r="A4" s="173" t="s">
        <v>6634</v>
      </c>
      <c r="B4" s="170"/>
      <c r="C4" s="61" t="s">
        <v>6635</v>
      </c>
    </row>
    <row r="5">
      <c r="A5" s="173" t="s">
        <v>6634</v>
      </c>
      <c r="B5" s="164"/>
      <c r="C5" s="170" t="s">
        <v>6111</v>
      </c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3" max="3" width="40.2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6636</v>
      </c>
      <c r="B2" s="170"/>
      <c r="C2" s="61" t="s">
        <v>6637</v>
      </c>
    </row>
    <row r="3">
      <c r="A3" s="173" t="s">
        <v>6638</v>
      </c>
      <c r="B3" s="170"/>
      <c r="C3" s="61" t="s">
        <v>6639</v>
      </c>
    </row>
    <row r="4">
      <c r="A4" s="173" t="s">
        <v>6638</v>
      </c>
      <c r="B4" s="164"/>
      <c r="C4" s="170" t="s">
        <v>6111</v>
      </c>
    </row>
    <row r="5">
      <c r="A5" s="61" t="s">
        <v>6294</v>
      </c>
      <c r="C5" s="61" t="s">
        <v>6640</v>
      </c>
    </row>
    <row r="6">
      <c r="A6" s="61" t="s">
        <v>6294</v>
      </c>
      <c r="C6" s="61">
        <v>3.0</v>
      </c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6641</v>
      </c>
      <c r="B2" s="61" t="s">
        <v>6642</v>
      </c>
      <c r="C2" s="61" t="s">
        <v>6642</v>
      </c>
    </row>
    <row r="3">
      <c r="A3" s="173" t="s">
        <v>6641</v>
      </c>
      <c r="B3" s="170" t="s">
        <v>6107</v>
      </c>
      <c r="C3" s="170" t="s">
        <v>6107</v>
      </c>
    </row>
    <row r="4">
      <c r="A4" s="158" t="s">
        <v>6643</v>
      </c>
      <c r="B4" s="61" t="s">
        <v>6644</v>
      </c>
      <c r="C4" s="61" t="s">
        <v>6644</v>
      </c>
    </row>
    <row r="5">
      <c r="A5" s="158" t="s">
        <v>6643</v>
      </c>
      <c r="B5" s="61">
        <v>2.0</v>
      </c>
      <c r="C5" s="61">
        <v>2.0</v>
      </c>
    </row>
    <row r="6">
      <c r="A6" s="158"/>
    </row>
    <row r="13">
      <c r="A13" s="61"/>
      <c r="C13" s="61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6641</v>
      </c>
      <c r="B2" s="61" t="s">
        <v>6642</v>
      </c>
      <c r="C2" s="61" t="s">
        <v>6642</v>
      </c>
    </row>
    <row r="3">
      <c r="A3" s="173" t="s">
        <v>6641</v>
      </c>
      <c r="B3" s="170" t="s">
        <v>6107</v>
      </c>
      <c r="C3" s="170" t="s">
        <v>6107</v>
      </c>
    </row>
    <row r="4">
      <c r="A4" s="158" t="s">
        <v>6643</v>
      </c>
      <c r="B4" s="61" t="s">
        <v>6644</v>
      </c>
      <c r="C4" s="61" t="s">
        <v>6644</v>
      </c>
    </row>
    <row r="5">
      <c r="A5" s="158" t="s">
        <v>6643</v>
      </c>
      <c r="B5" s="61">
        <v>2.0</v>
      </c>
      <c r="C5" s="61">
        <v>2.0</v>
      </c>
    </row>
    <row r="6">
      <c r="A6" s="158"/>
    </row>
    <row r="7">
      <c r="A7" s="61" t="s">
        <v>6645</v>
      </c>
      <c r="C7" s="61" t="s">
        <v>6646</v>
      </c>
    </row>
    <row r="8">
      <c r="A8" s="61" t="s">
        <v>6645</v>
      </c>
      <c r="C8" s="61" t="s">
        <v>6645</v>
      </c>
    </row>
    <row r="9">
      <c r="A9" s="61" t="s">
        <v>6647</v>
      </c>
      <c r="C9" s="61" t="s">
        <v>6647</v>
      </c>
    </row>
    <row r="10">
      <c r="A10" s="61" t="s">
        <v>6647</v>
      </c>
      <c r="C10" s="61" t="s">
        <v>6648</v>
      </c>
    </row>
    <row r="11">
      <c r="A11" s="61" t="s">
        <v>6649</v>
      </c>
      <c r="B11" s="61" t="s">
        <v>6650</v>
      </c>
      <c r="C11" s="61" t="s">
        <v>6651</v>
      </c>
    </row>
    <row r="12">
      <c r="A12" s="61" t="s">
        <v>6652</v>
      </c>
      <c r="B12" s="61" t="s">
        <v>6652</v>
      </c>
    </row>
    <row r="13">
      <c r="A13" s="61" t="s">
        <v>6653</v>
      </c>
      <c r="B13" s="61" t="s">
        <v>6653</v>
      </c>
    </row>
    <row r="16">
      <c r="A16" s="61"/>
      <c r="C16" s="61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6654</v>
      </c>
      <c r="B2" s="173" t="s">
        <v>6108</v>
      </c>
      <c r="C2" s="169" t="s">
        <v>6655</v>
      </c>
      <c r="D2" s="169" t="s">
        <v>6655</v>
      </c>
    </row>
    <row r="3">
      <c r="A3" s="173" t="s">
        <v>6654</v>
      </c>
      <c r="B3" s="174" t="s">
        <v>6108</v>
      </c>
      <c r="C3" s="170" t="s">
        <v>6107</v>
      </c>
      <c r="D3" s="170" t="s">
        <v>6107</v>
      </c>
    </row>
    <row r="4">
      <c r="A4" s="173" t="s">
        <v>6654</v>
      </c>
      <c r="B4" s="174" t="s">
        <v>6108</v>
      </c>
      <c r="C4" s="61" t="s">
        <v>6656</v>
      </c>
      <c r="D4" s="61" t="s">
        <v>6656</v>
      </c>
    </row>
    <row r="5">
      <c r="A5" s="173" t="s">
        <v>6654</v>
      </c>
      <c r="B5" s="174" t="s">
        <v>6108</v>
      </c>
      <c r="C5" s="61" t="s">
        <v>6657</v>
      </c>
      <c r="D5" s="61" t="s">
        <v>6657</v>
      </c>
    </row>
    <row r="6">
      <c r="A6" s="158" t="s">
        <v>6658</v>
      </c>
      <c r="B6" s="174" t="s">
        <v>6107</v>
      </c>
      <c r="C6" s="170" t="s">
        <v>6659</v>
      </c>
    </row>
    <row r="7">
      <c r="A7" s="158" t="s">
        <v>6658</v>
      </c>
      <c r="B7" s="61">
        <v>1.0</v>
      </c>
      <c r="C7" s="61" t="s">
        <v>6660</v>
      </c>
      <c r="D7" s="170" t="s">
        <v>6660</v>
      </c>
    </row>
    <row r="8">
      <c r="A8" s="158" t="s">
        <v>6658</v>
      </c>
      <c r="B8" s="61">
        <v>1.0</v>
      </c>
      <c r="C8" s="61">
        <v>2.0</v>
      </c>
      <c r="D8" s="61">
        <v>2.0</v>
      </c>
    </row>
    <row r="9">
      <c r="A9" s="158" t="s">
        <v>6658</v>
      </c>
      <c r="B9" s="61">
        <v>1.0</v>
      </c>
      <c r="C9" s="61" t="s">
        <v>6661</v>
      </c>
      <c r="D9" s="61" t="s">
        <v>6661</v>
      </c>
    </row>
    <row r="10">
      <c r="A10" s="61" t="s">
        <v>6662</v>
      </c>
      <c r="B10" s="61">
        <v>2.0</v>
      </c>
      <c r="C10" s="61" t="s">
        <v>6663</v>
      </c>
      <c r="D10" s="61" t="s">
        <v>6663</v>
      </c>
    </row>
    <row r="11">
      <c r="A11" s="61" t="s">
        <v>6662</v>
      </c>
      <c r="B11" s="61">
        <v>2.0</v>
      </c>
      <c r="C11" s="61">
        <v>3.0</v>
      </c>
      <c r="D11" s="61">
        <v>3.0</v>
      </c>
    </row>
    <row r="12">
      <c r="A12" s="61" t="s">
        <v>6664</v>
      </c>
      <c r="B12" s="61">
        <v>3.0</v>
      </c>
      <c r="C12" s="61" t="s">
        <v>6665</v>
      </c>
      <c r="D12" s="61" t="s">
        <v>6665</v>
      </c>
    </row>
    <row r="13">
      <c r="A13" s="61" t="s">
        <v>6664</v>
      </c>
      <c r="B13" s="61">
        <v>3.0</v>
      </c>
      <c r="C13" s="61">
        <v>4.0</v>
      </c>
      <c r="D13" s="61">
        <v>4.0</v>
      </c>
    </row>
    <row r="14">
      <c r="A14" s="61" t="s">
        <v>6666</v>
      </c>
      <c r="B14" s="61">
        <v>4.0</v>
      </c>
      <c r="D14" s="61" t="s">
        <v>6667</v>
      </c>
    </row>
    <row r="15">
      <c r="A15" s="61" t="s">
        <v>6666</v>
      </c>
      <c r="B15" s="61">
        <v>4.0</v>
      </c>
      <c r="D15" s="61">
        <v>5.0</v>
      </c>
    </row>
    <row r="16">
      <c r="A16" s="61"/>
      <c r="B16" s="61"/>
      <c r="D16" s="61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6654</v>
      </c>
      <c r="B2" s="174" t="s">
        <v>6108</v>
      </c>
      <c r="C2" s="61" t="s">
        <v>6656</v>
      </c>
      <c r="D2" s="61" t="s">
        <v>6656</v>
      </c>
    </row>
    <row r="3">
      <c r="A3" s="173" t="s">
        <v>6654</v>
      </c>
      <c r="B3" s="174" t="s">
        <v>6108</v>
      </c>
      <c r="C3" s="170" t="s">
        <v>6107</v>
      </c>
      <c r="D3" s="170" t="s">
        <v>6107</v>
      </c>
    </row>
    <row r="4">
      <c r="A4" s="158" t="s">
        <v>6658</v>
      </c>
      <c r="B4" s="174" t="s">
        <v>6107</v>
      </c>
      <c r="C4" s="170" t="s">
        <v>6659</v>
      </c>
      <c r="D4" s="61" t="s">
        <v>6659</v>
      </c>
    </row>
    <row r="5">
      <c r="A5" s="158" t="s">
        <v>6658</v>
      </c>
      <c r="B5" s="61">
        <v>1.0</v>
      </c>
      <c r="C5" s="61">
        <v>2.0</v>
      </c>
      <c r="D5" s="61">
        <v>2.0</v>
      </c>
    </row>
    <row r="6">
      <c r="A6" s="61" t="s">
        <v>6668</v>
      </c>
      <c r="B6" s="61">
        <v>2.0</v>
      </c>
      <c r="C6" s="61" t="s">
        <v>6669</v>
      </c>
      <c r="D6" s="61" t="s">
        <v>6669</v>
      </c>
    </row>
    <row r="7">
      <c r="A7" s="61" t="s">
        <v>6668</v>
      </c>
      <c r="B7" s="61">
        <v>2.0</v>
      </c>
      <c r="C7" s="61">
        <v>3.0</v>
      </c>
      <c r="D7" s="61">
        <v>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5.5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6120</v>
      </c>
      <c r="B3" s="158" t="s">
        <v>6111</v>
      </c>
      <c r="C3" s="158" t="s">
        <v>6111</v>
      </c>
      <c r="D3" s="158" t="s">
        <v>6111</v>
      </c>
      <c r="E3" s="158" t="s">
        <v>6111</v>
      </c>
    </row>
    <row r="4">
      <c r="A4" s="61" t="s">
        <v>6121</v>
      </c>
      <c r="B4" s="158" t="s">
        <v>6114</v>
      </c>
      <c r="C4" s="158" t="s">
        <v>6114</v>
      </c>
      <c r="D4" s="158" t="s">
        <v>6114</v>
      </c>
      <c r="E4" s="158" t="s">
        <v>6114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58" t="s">
        <v>6658</v>
      </c>
      <c r="B2" s="61">
        <v>1.0</v>
      </c>
      <c r="C2" s="61" t="s">
        <v>6670</v>
      </c>
      <c r="D2" s="61" t="s">
        <v>6670</v>
      </c>
    </row>
    <row r="3">
      <c r="A3" s="158" t="s">
        <v>6658</v>
      </c>
      <c r="B3" s="61">
        <v>1.0</v>
      </c>
      <c r="C3" s="61">
        <v>1.0</v>
      </c>
      <c r="D3" s="61">
        <v>1.0</v>
      </c>
    </row>
    <row r="4">
      <c r="A4" s="61" t="s">
        <v>6662</v>
      </c>
      <c r="B4" s="61">
        <v>2.0</v>
      </c>
      <c r="C4" s="61" t="s">
        <v>6671</v>
      </c>
      <c r="D4" s="61" t="s">
        <v>6671</v>
      </c>
    </row>
    <row r="5">
      <c r="A5" s="61" t="s">
        <v>6662</v>
      </c>
      <c r="B5" s="61">
        <v>2.0</v>
      </c>
      <c r="C5" s="61">
        <v>2.0</v>
      </c>
      <c r="D5" s="61">
        <v>2.0</v>
      </c>
    </row>
    <row r="6">
      <c r="A6" s="61" t="s">
        <v>6664</v>
      </c>
      <c r="B6" s="61">
        <v>3.0</v>
      </c>
      <c r="C6" s="61" t="s">
        <v>6672</v>
      </c>
      <c r="D6" s="61" t="s">
        <v>6672</v>
      </c>
    </row>
    <row r="7">
      <c r="A7" s="61" t="s">
        <v>6664</v>
      </c>
      <c r="B7" s="61">
        <v>3.0</v>
      </c>
      <c r="C7" s="61">
        <v>3.0</v>
      </c>
      <c r="D7" s="61">
        <v>3.0</v>
      </c>
    </row>
    <row r="8">
      <c r="A8" s="61"/>
      <c r="B8" s="61"/>
      <c r="D8" s="61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64" t="s">
        <v>6108</v>
      </c>
      <c r="B2" s="170" t="s">
        <v>6108</v>
      </c>
      <c r="C2" s="170" t="s">
        <v>6673</v>
      </c>
      <c r="D2" s="175" t="s">
        <v>6674</v>
      </c>
    </row>
    <row r="3">
      <c r="A3" s="170" t="s">
        <v>6108</v>
      </c>
      <c r="B3" s="170" t="s">
        <v>6108</v>
      </c>
      <c r="C3" s="170" t="s">
        <v>6107</v>
      </c>
      <c r="D3" s="170" t="s">
        <v>6108</v>
      </c>
    </row>
    <row r="4">
      <c r="A4" s="164" t="s">
        <v>6675</v>
      </c>
      <c r="B4" s="170" t="s">
        <v>6107</v>
      </c>
      <c r="C4" s="170" t="s">
        <v>6676</v>
      </c>
      <c r="D4" s="170" t="s">
        <v>6677</v>
      </c>
    </row>
    <row r="5">
      <c r="A5" s="170" t="s">
        <v>6675</v>
      </c>
      <c r="B5" s="170" t="s">
        <v>6107</v>
      </c>
      <c r="C5" s="170" t="s">
        <v>6111</v>
      </c>
      <c r="D5" s="170" t="s">
        <v>6675</v>
      </c>
    </row>
    <row r="6">
      <c r="A6" s="170" t="s">
        <v>6675</v>
      </c>
      <c r="B6" s="170" t="s">
        <v>6107</v>
      </c>
      <c r="C6" s="170"/>
      <c r="D6" s="176" t="s">
        <v>6678</v>
      </c>
    </row>
    <row r="7">
      <c r="A7" s="161" t="s">
        <v>6679</v>
      </c>
      <c r="B7" s="169" t="s">
        <v>6680</v>
      </c>
      <c r="C7" s="169" t="s">
        <v>6681</v>
      </c>
      <c r="D7" s="169" t="s">
        <v>6682</v>
      </c>
    </row>
    <row r="8">
      <c r="A8" s="170" t="s">
        <v>6679</v>
      </c>
      <c r="B8" s="170" t="s">
        <v>6680</v>
      </c>
      <c r="C8" s="170" t="s">
        <v>6114</v>
      </c>
      <c r="D8" s="170" t="s">
        <v>6679</v>
      </c>
    </row>
    <row r="9">
      <c r="A9" s="170" t="s">
        <v>6679</v>
      </c>
      <c r="B9" s="170" t="s">
        <v>6680</v>
      </c>
      <c r="C9" s="170"/>
      <c r="D9" s="176" t="s">
        <v>6683</v>
      </c>
    </row>
    <row r="10">
      <c r="A10" s="164" t="s">
        <v>6684</v>
      </c>
      <c r="B10" s="170" t="s">
        <v>6111</v>
      </c>
      <c r="C10" s="170" t="s">
        <v>6685</v>
      </c>
      <c r="D10" s="170" t="s">
        <v>6686</v>
      </c>
    </row>
    <row r="11">
      <c r="A11" s="170" t="s">
        <v>6684</v>
      </c>
      <c r="B11" s="170" t="s">
        <v>6111</v>
      </c>
      <c r="C11" s="170" t="s">
        <v>6129</v>
      </c>
      <c r="D11" s="170" t="s">
        <v>6687</v>
      </c>
    </row>
    <row r="12">
      <c r="A12" s="170" t="s">
        <v>6684</v>
      </c>
      <c r="B12" s="170" t="s">
        <v>6111</v>
      </c>
      <c r="C12" s="170"/>
      <c r="D12" s="170" t="s">
        <v>6688</v>
      </c>
    </row>
    <row r="13">
      <c r="A13" s="170" t="s">
        <v>6684</v>
      </c>
      <c r="B13" s="170" t="s">
        <v>6111</v>
      </c>
      <c r="C13" s="170"/>
      <c r="D13" s="170" t="s">
        <v>6689</v>
      </c>
    </row>
    <row r="14">
      <c r="A14" s="170" t="s">
        <v>6684</v>
      </c>
      <c r="B14" s="170" t="s">
        <v>6111</v>
      </c>
      <c r="C14" s="170"/>
      <c r="D14" s="170" t="s">
        <v>6690</v>
      </c>
    </row>
    <row r="15">
      <c r="A15" s="170" t="s">
        <v>6684</v>
      </c>
      <c r="B15" s="170" t="s">
        <v>6111</v>
      </c>
      <c r="C15" s="170"/>
      <c r="D15" s="170" t="s">
        <v>6691</v>
      </c>
    </row>
    <row r="16">
      <c r="A16" s="170" t="s">
        <v>6684</v>
      </c>
      <c r="B16" s="170" t="s">
        <v>6111</v>
      </c>
      <c r="C16" s="170"/>
      <c r="D16" s="176" t="s">
        <v>6692</v>
      </c>
    </row>
    <row r="17">
      <c r="A17" s="170" t="s">
        <v>6684</v>
      </c>
      <c r="B17" s="170" t="s">
        <v>6111</v>
      </c>
      <c r="C17" s="170"/>
      <c r="D17" s="176" t="s">
        <v>6693</v>
      </c>
    </row>
    <row r="18">
      <c r="A18" s="170" t="s">
        <v>6684</v>
      </c>
      <c r="B18" s="170" t="s">
        <v>6111</v>
      </c>
      <c r="C18" s="170"/>
      <c r="D18" s="176" t="s">
        <v>6694</v>
      </c>
    </row>
    <row r="19">
      <c r="A19" s="164" t="s">
        <v>6695</v>
      </c>
      <c r="B19" s="170" t="s">
        <v>6696</v>
      </c>
      <c r="C19" s="170" t="s">
        <v>6697</v>
      </c>
      <c r="D19" s="170" t="s">
        <v>6698</v>
      </c>
    </row>
    <row r="20">
      <c r="A20" s="170" t="s">
        <v>6695</v>
      </c>
      <c r="B20" s="170" t="s">
        <v>6696</v>
      </c>
      <c r="C20" s="170" t="s">
        <v>6171</v>
      </c>
      <c r="D20" s="170" t="s">
        <v>6699</v>
      </c>
    </row>
    <row r="21">
      <c r="A21" s="170" t="s">
        <v>6695</v>
      </c>
      <c r="B21" s="170" t="s">
        <v>6696</v>
      </c>
      <c r="C21" s="170"/>
      <c r="D21" s="170" t="s">
        <v>6700</v>
      </c>
    </row>
    <row r="22">
      <c r="A22" s="170" t="s">
        <v>6695</v>
      </c>
      <c r="B22" s="170" t="s">
        <v>6696</v>
      </c>
      <c r="C22" s="170"/>
      <c r="D22" s="170" t="s">
        <v>6701</v>
      </c>
    </row>
    <row r="23">
      <c r="A23" s="170" t="s">
        <v>6695</v>
      </c>
      <c r="B23" s="170" t="s">
        <v>6696</v>
      </c>
      <c r="C23" s="170"/>
      <c r="D23" s="170" t="s">
        <v>6702</v>
      </c>
    </row>
    <row r="24">
      <c r="A24" s="170" t="s">
        <v>6695</v>
      </c>
      <c r="B24" s="170" t="s">
        <v>6696</v>
      </c>
      <c r="C24" s="170"/>
      <c r="D24" s="170" t="s">
        <v>6703</v>
      </c>
    </row>
    <row r="25">
      <c r="A25" s="170" t="s">
        <v>6695</v>
      </c>
      <c r="B25" s="170" t="s">
        <v>6696</v>
      </c>
      <c r="C25" s="170"/>
      <c r="D25" s="176" t="s">
        <v>6704</v>
      </c>
    </row>
    <row r="26">
      <c r="A26" s="170" t="s">
        <v>6695</v>
      </c>
      <c r="B26" s="170" t="s">
        <v>6696</v>
      </c>
      <c r="C26" s="170"/>
      <c r="D26" s="176" t="s">
        <v>6705</v>
      </c>
    </row>
    <row r="27">
      <c r="A27" s="170" t="s">
        <v>6695</v>
      </c>
      <c r="B27" s="170" t="s">
        <v>6696</v>
      </c>
      <c r="C27" s="170"/>
      <c r="D27" s="176" t="s">
        <v>6706</v>
      </c>
    </row>
    <row r="28">
      <c r="A28" s="164" t="s">
        <v>6114</v>
      </c>
      <c r="B28" s="170" t="s">
        <v>6114</v>
      </c>
      <c r="C28" s="170" t="s">
        <v>6707</v>
      </c>
      <c r="D28" s="170" t="s">
        <v>6708</v>
      </c>
    </row>
    <row r="29">
      <c r="A29" s="158" t="s">
        <v>6114</v>
      </c>
      <c r="B29" s="158" t="s">
        <v>6114</v>
      </c>
      <c r="C29" s="158" t="s">
        <v>6173</v>
      </c>
      <c r="D29" s="158" t="s">
        <v>6114</v>
      </c>
    </row>
    <row r="30">
      <c r="A30" s="158"/>
      <c r="B30" s="158"/>
      <c r="C30" s="158"/>
      <c r="D30" s="158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8.0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0" t="s">
        <v>6709</v>
      </c>
      <c r="B2" s="170" t="s">
        <v>6111</v>
      </c>
      <c r="C2" s="170"/>
      <c r="D2" s="175" t="s">
        <v>6709</v>
      </c>
    </row>
    <row r="3">
      <c r="A3" s="170" t="s">
        <v>6710</v>
      </c>
      <c r="B3" s="170" t="s">
        <v>6114</v>
      </c>
      <c r="C3" s="170"/>
      <c r="D3" s="170" t="s">
        <v>6710</v>
      </c>
    </row>
    <row r="4">
      <c r="A4" s="170" t="s">
        <v>6711</v>
      </c>
      <c r="B4" s="170" t="s">
        <v>6129</v>
      </c>
      <c r="C4" s="170"/>
      <c r="D4" s="170" t="s">
        <v>6711</v>
      </c>
    </row>
    <row r="5">
      <c r="A5" s="170"/>
      <c r="B5" s="170"/>
      <c r="C5" s="170"/>
      <c r="D5" s="170"/>
    </row>
    <row r="6">
      <c r="A6" s="170"/>
      <c r="B6" s="170"/>
      <c r="C6" s="170"/>
      <c r="D6" s="176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6712</v>
      </c>
      <c r="B2" s="169"/>
      <c r="C2" s="169" t="s">
        <v>6713</v>
      </c>
    </row>
    <row r="3">
      <c r="A3" s="173" t="s">
        <v>6712</v>
      </c>
      <c r="B3" s="170"/>
      <c r="C3" s="170" t="s">
        <v>6107</v>
      </c>
    </row>
    <row r="4">
      <c r="A4" s="158" t="s">
        <v>6714</v>
      </c>
      <c r="B4" s="170"/>
      <c r="C4" s="170" t="s">
        <v>6715</v>
      </c>
    </row>
    <row r="5">
      <c r="A5" s="158" t="s">
        <v>6714</v>
      </c>
      <c r="C5" s="61">
        <v>2.0</v>
      </c>
    </row>
    <row r="6">
      <c r="A6" s="158" t="s">
        <v>6716</v>
      </c>
      <c r="C6" s="61" t="s">
        <v>6717</v>
      </c>
    </row>
    <row r="7">
      <c r="A7" s="158" t="s">
        <v>6716</v>
      </c>
      <c r="C7" s="61">
        <v>3.0</v>
      </c>
    </row>
    <row r="8">
      <c r="A8" s="61" t="s">
        <v>6718</v>
      </c>
      <c r="C8" s="61" t="s">
        <v>6719</v>
      </c>
    </row>
    <row r="9">
      <c r="A9" s="61" t="s">
        <v>6718</v>
      </c>
      <c r="C9" s="61">
        <v>4.0</v>
      </c>
    </row>
    <row r="10">
      <c r="A10" s="61" t="s">
        <v>6720</v>
      </c>
      <c r="C10" s="61" t="s">
        <v>6721</v>
      </c>
    </row>
    <row r="11">
      <c r="A11" s="61" t="s">
        <v>6720</v>
      </c>
      <c r="C11" s="61">
        <v>5.0</v>
      </c>
    </row>
    <row r="12">
      <c r="A12" s="61"/>
      <c r="C12" s="61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38"/>
    <col customWidth="1" min="2" max="3" width="18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6722</v>
      </c>
      <c r="B2" s="169" t="s">
        <v>6723</v>
      </c>
      <c r="C2" s="169" t="s">
        <v>6723</v>
      </c>
    </row>
    <row r="3">
      <c r="A3" s="173" t="s">
        <v>6722</v>
      </c>
      <c r="B3" s="170" t="s">
        <v>6724</v>
      </c>
      <c r="C3" s="170" t="s">
        <v>6724</v>
      </c>
    </row>
    <row r="4">
      <c r="A4" s="158" t="s">
        <v>6725</v>
      </c>
      <c r="B4" s="170" t="s">
        <v>6726</v>
      </c>
      <c r="C4" s="170" t="s">
        <v>6726</v>
      </c>
    </row>
    <row r="5">
      <c r="A5" s="158" t="s">
        <v>6725</v>
      </c>
      <c r="B5" s="61" t="s">
        <v>6727</v>
      </c>
      <c r="C5" s="61" t="s">
        <v>6727</v>
      </c>
    </row>
    <row r="6">
      <c r="A6" s="158" t="s">
        <v>6728</v>
      </c>
      <c r="B6" s="61" t="s">
        <v>6729</v>
      </c>
      <c r="C6" s="61" t="s">
        <v>6729</v>
      </c>
    </row>
    <row r="7">
      <c r="A7" s="158" t="s">
        <v>6728</v>
      </c>
      <c r="B7" s="61" t="s">
        <v>6730</v>
      </c>
      <c r="C7" s="61" t="s">
        <v>6730</v>
      </c>
    </row>
    <row r="8">
      <c r="A8" s="61" t="s">
        <v>6731</v>
      </c>
      <c r="B8" s="61" t="s">
        <v>6732</v>
      </c>
      <c r="C8" s="61" t="s">
        <v>6732</v>
      </c>
    </row>
    <row r="9">
      <c r="A9" s="61" t="s">
        <v>6731</v>
      </c>
      <c r="B9" s="61" t="s">
        <v>6733</v>
      </c>
      <c r="C9" s="61" t="s">
        <v>6733</v>
      </c>
    </row>
    <row r="10">
      <c r="A10" s="61" t="s">
        <v>6734</v>
      </c>
      <c r="B10" s="61" t="s">
        <v>6735</v>
      </c>
      <c r="C10" s="61" t="s">
        <v>6735</v>
      </c>
    </row>
    <row r="11">
      <c r="A11" s="61" t="s">
        <v>6734</v>
      </c>
      <c r="B11" s="61" t="s">
        <v>6736</v>
      </c>
      <c r="C11" s="61" t="s">
        <v>6736</v>
      </c>
    </row>
    <row r="12">
      <c r="A12" s="61" t="s">
        <v>6737</v>
      </c>
      <c r="B12" s="61" t="s">
        <v>6738</v>
      </c>
      <c r="C12" s="61" t="s">
        <v>6738</v>
      </c>
    </row>
    <row r="13">
      <c r="A13" s="61" t="s">
        <v>6737</v>
      </c>
      <c r="B13" s="61" t="s">
        <v>6739</v>
      </c>
      <c r="C13" s="61" t="s">
        <v>6739</v>
      </c>
    </row>
    <row r="14">
      <c r="A14" s="61" t="s">
        <v>6740</v>
      </c>
      <c r="B14" s="61" t="s">
        <v>6741</v>
      </c>
      <c r="C14" s="61" t="s">
        <v>6741</v>
      </c>
    </row>
    <row r="15">
      <c r="A15" s="61" t="s">
        <v>6740</v>
      </c>
      <c r="B15" s="61" t="s">
        <v>6742</v>
      </c>
      <c r="C15" s="61" t="s">
        <v>6742</v>
      </c>
    </row>
    <row r="16">
      <c r="A16" s="61" t="s">
        <v>6743</v>
      </c>
      <c r="B16" s="61" t="s">
        <v>6744</v>
      </c>
      <c r="C16" s="61" t="s">
        <v>6744</v>
      </c>
    </row>
    <row r="17">
      <c r="A17" s="61" t="s">
        <v>6743</v>
      </c>
      <c r="B17" s="61" t="s">
        <v>6745</v>
      </c>
      <c r="C17" s="61" t="s">
        <v>6745</v>
      </c>
    </row>
    <row r="18">
      <c r="A18" s="61" t="s">
        <v>6746</v>
      </c>
      <c r="B18" s="61" t="s">
        <v>6747</v>
      </c>
      <c r="C18" s="61" t="s">
        <v>6747</v>
      </c>
    </row>
    <row r="19">
      <c r="A19" s="61" t="s">
        <v>6746</v>
      </c>
      <c r="B19" s="61" t="s">
        <v>6748</v>
      </c>
      <c r="C19" s="61" t="s">
        <v>6748</v>
      </c>
    </row>
    <row r="20">
      <c r="A20" s="61" t="s">
        <v>6749</v>
      </c>
      <c r="B20" s="61" t="s">
        <v>6750</v>
      </c>
      <c r="C20" s="61" t="s">
        <v>6750</v>
      </c>
    </row>
    <row r="21">
      <c r="A21" s="61" t="s">
        <v>6749</v>
      </c>
      <c r="B21" s="61" t="s">
        <v>6751</v>
      </c>
      <c r="C21" s="61" t="s">
        <v>6751</v>
      </c>
    </row>
    <row r="22">
      <c r="A22" s="61" t="s">
        <v>6752</v>
      </c>
      <c r="B22" s="61" t="s">
        <v>6753</v>
      </c>
      <c r="C22" s="61" t="s">
        <v>6753</v>
      </c>
    </row>
    <row r="23">
      <c r="A23" s="61" t="s">
        <v>6752</v>
      </c>
      <c r="B23" s="61" t="s">
        <v>6754</v>
      </c>
      <c r="C23" s="61" t="s">
        <v>6754</v>
      </c>
    </row>
    <row r="24">
      <c r="A24" s="61" t="s">
        <v>6755</v>
      </c>
      <c r="B24" s="61" t="s">
        <v>6756</v>
      </c>
      <c r="C24" s="61" t="s">
        <v>6756</v>
      </c>
    </row>
    <row r="25">
      <c r="A25" s="61" t="s">
        <v>6755</v>
      </c>
      <c r="B25" s="61" t="s">
        <v>6757</v>
      </c>
      <c r="C25" s="61" t="s">
        <v>6757</v>
      </c>
    </row>
    <row r="26">
      <c r="A26" s="61" t="s">
        <v>6758</v>
      </c>
      <c r="B26" s="61" t="s">
        <v>6759</v>
      </c>
      <c r="C26" s="61" t="s">
        <v>6759</v>
      </c>
    </row>
    <row r="27">
      <c r="A27" s="61" t="s">
        <v>6758</v>
      </c>
      <c r="B27" s="61" t="s">
        <v>6760</v>
      </c>
      <c r="C27" s="61" t="s">
        <v>6760</v>
      </c>
    </row>
    <row r="28">
      <c r="A28" s="61" t="s">
        <v>6761</v>
      </c>
      <c r="B28" s="61" t="s">
        <v>6762</v>
      </c>
      <c r="C28" s="61" t="s">
        <v>6762</v>
      </c>
    </row>
    <row r="29">
      <c r="A29" s="61" t="s">
        <v>6761</v>
      </c>
      <c r="B29" s="61" t="s">
        <v>6763</v>
      </c>
      <c r="C29" s="61" t="s">
        <v>6763</v>
      </c>
    </row>
    <row r="30">
      <c r="A30" s="61" t="s">
        <v>6764</v>
      </c>
      <c r="B30" s="61" t="s">
        <v>6765</v>
      </c>
      <c r="C30" s="61" t="s">
        <v>6765</v>
      </c>
    </row>
    <row r="31">
      <c r="A31" s="61" t="s">
        <v>6764</v>
      </c>
      <c r="B31" s="61" t="s">
        <v>6766</v>
      </c>
      <c r="C31" s="61" t="s">
        <v>6766</v>
      </c>
    </row>
    <row r="32">
      <c r="A32" s="61" t="s">
        <v>6767</v>
      </c>
      <c r="B32" s="61" t="s">
        <v>6768</v>
      </c>
      <c r="C32" s="61" t="s">
        <v>6768</v>
      </c>
    </row>
    <row r="33">
      <c r="A33" s="61" t="s">
        <v>6767</v>
      </c>
      <c r="B33" s="61" t="s">
        <v>6769</v>
      </c>
      <c r="C33" s="61" t="s">
        <v>6769</v>
      </c>
    </row>
    <row r="34">
      <c r="A34" s="61" t="s">
        <v>6770</v>
      </c>
      <c r="B34" s="61" t="s">
        <v>6771</v>
      </c>
      <c r="C34" s="61" t="s">
        <v>6771</v>
      </c>
    </row>
    <row r="35">
      <c r="A35" s="61" t="s">
        <v>6770</v>
      </c>
      <c r="B35" s="61" t="s">
        <v>6772</v>
      </c>
      <c r="C35" s="61" t="s">
        <v>6772</v>
      </c>
    </row>
    <row r="36">
      <c r="A36" s="61" t="s">
        <v>6773</v>
      </c>
      <c r="B36" s="61" t="s">
        <v>6774</v>
      </c>
      <c r="C36" s="61" t="s">
        <v>6774</v>
      </c>
    </row>
    <row r="37">
      <c r="A37" s="61" t="s">
        <v>6773</v>
      </c>
      <c r="B37" s="61" t="s">
        <v>6775</v>
      </c>
      <c r="C37" s="61" t="s">
        <v>6775</v>
      </c>
    </row>
    <row r="38">
      <c r="A38" s="61" t="s">
        <v>5960</v>
      </c>
      <c r="B38" s="61" t="s">
        <v>6776</v>
      </c>
      <c r="C38" s="61" t="s">
        <v>6776</v>
      </c>
    </row>
    <row r="39">
      <c r="A39" s="61" t="s">
        <v>5960</v>
      </c>
      <c r="B39" s="61" t="s">
        <v>6777</v>
      </c>
      <c r="C39" s="61" t="s">
        <v>6777</v>
      </c>
    </row>
    <row r="40">
      <c r="A40" s="61" t="s">
        <v>6778</v>
      </c>
      <c r="B40" s="61" t="s">
        <v>6779</v>
      </c>
      <c r="C40" s="61" t="s">
        <v>6779</v>
      </c>
    </row>
    <row r="41">
      <c r="A41" s="61" t="s">
        <v>6778</v>
      </c>
      <c r="B41" s="61" t="s">
        <v>6780</v>
      </c>
      <c r="C41" s="61" t="s">
        <v>6780</v>
      </c>
    </row>
    <row r="42">
      <c r="A42" s="61" t="s">
        <v>6781</v>
      </c>
      <c r="B42" s="61" t="s">
        <v>6782</v>
      </c>
      <c r="C42" s="61" t="s">
        <v>6782</v>
      </c>
    </row>
    <row r="43">
      <c r="A43" s="61" t="s">
        <v>6781</v>
      </c>
      <c r="B43" s="61" t="s">
        <v>6783</v>
      </c>
      <c r="C43" s="61" t="s">
        <v>6783</v>
      </c>
    </row>
    <row r="44">
      <c r="A44" s="61" t="s">
        <v>6784</v>
      </c>
      <c r="B44" s="61" t="s">
        <v>6785</v>
      </c>
      <c r="C44" s="61" t="s">
        <v>6785</v>
      </c>
    </row>
    <row r="45">
      <c r="A45" s="61" t="s">
        <v>6784</v>
      </c>
      <c r="B45" s="61" t="s">
        <v>6786</v>
      </c>
      <c r="C45" s="61" t="s">
        <v>6786</v>
      </c>
    </row>
    <row r="46">
      <c r="A46" s="61" t="s">
        <v>6787</v>
      </c>
      <c r="B46" s="61" t="s">
        <v>6788</v>
      </c>
      <c r="C46" s="61" t="s">
        <v>6788</v>
      </c>
    </row>
    <row r="47">
      <c r="A47" s="61" t="s">
        <v>6787</v>
      </c>
      <c r="B47" s="61" t="s">
        <v>6789</v>
      </c>
      <c r="C47" s="61" t="s">
        <v>6789</v>
      </c>
    </row>
    <row r="48">
      <c r="A48" s="61" t="s">
        <v>6790</v>
      </c>
      <c r="B48" s="61" t="s">
        <v>6791</v>
      </c>
      <c r="C48" s="61" t="s">
        <v>6791</v>
      </c>
    </row>
    <row r="49">
      <c r="A49" s="61" t="s">
        <v>6790</v>
      </c>
      <c r="B49" s="61" t="s">
        <v>6211</v>
      </c>
      <c r="C49" s="61" t="s">
        <v>6211</v>
      </c>
    </row>
    <row r="50">
      <c r="A50" s="61"/>
      <c r="C50" s="61"/>
    </row>
    <row r="51">
      <c r="A51" s="61"/>
      <c r="C51" s="61"/>
    </row>
    <row r="52">
      <c r="A52" s="61"/>
      <c r="C52" s="61"/>
    </row>
    <row r="53">
      <c r="A53" s="61"/>
      <c r="C53" s="61"/>
    </row>
    <row r="54">
      <c r="A54" s="61"/>
      <c r="C54" s="61"/>
    </row>
    <row r="55">
      <c r="A55" s="61"/>
      <c r="C55" s="61"/>
    </row>
    <row r="56">
      <c r="A56" s="61"/>
      <c r="C56" s="61"/>
    </row>
    <row r="57">
      <c r="A57" s="61"/>
      <c r="C57" s="61"/>
    </row>
    <row r="58">
      <c r="A58" s="61"/>
      <c r="C58" s="61"/>
    </row>
    <row r="59">
      <c r="A59" s="61"/>
      <c r="C59" s="61"/>
    </row>
    <row r="60">
      <c r="A60" s="61"/>
      <c r="C60" s="61"/>
    </row>
    <row r="61">
      <c r="A61" s="61"/>
      <c r="C61" s="61"/>
    </row>
    <row r="62">
      <c r="A62" s="61"/>
      <c r="C62" s="61"/>
    </row>
    <row r="63">
      <c r="A63" s="61"/>
      <c r="C63" s="61"/>
    </row>
    <row r="64">
      <c r="A64" s="61"/>
      <c r="C64" s="61"/>
    </row>
    <row r="65">
      <c r="A65" s="61"/>
      <c r="C65" s="61"/>
    </row>
    <row r="66">
      <c r="A66" s="61"/>
      <c r="C66" s="61"/>
    </row>
    <row r="67">
      <c r="A67" s="61"/>
      <c r="C67" s="61"/>
    </row>
    <row r="68">
      <c r="A68" s="61"/>
      <c r="C68" s="61"/>
    </row>
    <row r="69">
      <c r="A69" s="61"/>
      <c r="C69" s="61"/>
    </row>
    <row r="70">
      <c r="A70" s="61"/>
      <c r="C70" s="61"/>
    </row>
    <row r="71">
      <c r="A71" s="61"/>
      <c r="C71" s="61"/>
    </row>
    <row r="72">
      <c r="A72" s="61"/>
      <c r="C72" s="61"/>
    </row>
    <row r="73">
      <c r="A73" s="61"/>
      <c r="C73" s="61"/>
    </row>
    <row r="74">
      <c r="A74" s="61"/>
      <c r="C74" s="61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7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6712</v>
      </c>
      <c r="B2" s="169" t="s">
        <v>6792</v>
      </c>
      <c r="C2" s="169" t="s">
        <v>6793</v>
      </c>
    </row>
    <row r="3">
      <c r="A3" s="173" t="s">
        <v>6712</v>
      </c>
      <c r="B3" s="170" t="s">
        <v>6107</v>
      </c>
      <c r="C3" s="170" t="s">
        <v>6712</v>
      </c>
    </row>
    <row r="4">
      <c r="A4" s="170" t="s">
        <v>6714</v>
      </c>
      <c r="B4" s="170" t="s">
        <v>6794</v>
      </c>
      <c r="C4" s="170" t="s">
        <v>6795</v>
      </c>
    </row>
    <row r="5">
      <c r="A5" s="170" t="s">
        <v>6714</v>
      </c>
      <c r="B5" s="170" t="s">
        <v>6111</v>
      </c>
      <c r="C5" s="170" t="s">
        <v>6714</v>
      </c>
    </row>
    <row r="6">
      <c r="A6" s="170" t="s">
        <v>6796</v>
      </c>
      <c r="B6" s="170" t="s">
        <v>6797</v>
      </c>
      <c r="C6" s="170" t="s">
        <v>6798</v>
      </c>
    </row>
    <row r="7">
      <c r="A7" s="170" t="s">
        <v>6796</v>
      </c>
      <c r="B7" s="61">
        <v>3.0</v>
      </c>
      <c r="C7" s="61" t="s">
        <v>6796</v>
      </c>
    </row>
    <row r="8">
      <c r="A8" s="61" t="s">
        <v>6799</v>
      </c>
      <c r="B8" s="61" t="s">
        <v>6800</v>
      </c>
      <c r="C8" s="61" t="s">
        <v>6801</v>
      </c>
    </row>
    <row r="9">
      <c r="A9" s="61" t="s">
        <v>6799</v>
      </c>
      <c r="B9" s="61">
        <v>4.0</v>
      </c>
      <c r="C9" s="61" t="s">
        <v>6799</v>
      </c>
    </row>
    <row r="10">
      <c r="A10" s="61" t="s">
        <v>6720</v>
      </c>
      <c r="B10" s="61" t="s">
        <v>6802</v>
      </c>
      <c r="C10" s="61" t="s">
        <v>6803</v>
      </c>
    </row>
    <row r="11">
      <c r="A11" s="61" t="s">
        <v>6720</v>
      </c>
      <c r="B11" s="61">
        <v>5.0</v>
      </c>
      <c r="C11" s="61" t="s">
        <v>6720</v>
      </c>
    </row>
    <row r="12">
      <c r="A12" s="158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24.38"/>
    <col customWidth="1" min="3" max="3" width="26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6804</v>
      </c>
      <c r="B2" s="169" t="s">
        <v>6805</v>
      </c>
      <c r="C2" s="169" t="s">
        <v>6806</v>
      </c>
    </row>
    <row r="3">
      <c r="A3" s="173" t="s">
        <v>6804</v>
      </c>
      <c r="B3" s="170" t="s">
        <v>6107</v>
      </c>
      <c r="C3" s="170" t="s">
        <v>6107</v>
      </c>
    </row>
    <row r="4">
      <c r="A4" s="170" t="s">
        <v>6807</v>
      </c>
      <c r="B4" s="170" t="s">
        <v>6808</v>
      </c>
      <c r="C4" s="170" t="s">
        <v>6809</v>
      </c>
    </row>
    <row r="5">
      <c r="A5" s="170" t="s">
        <v>6807</v>
      </c>
      <c r="B5" s="170" t="s">
        <v>6111</v>
      </c>
      <c r="C5" s="170" t="s">
        <v>6111</v>
      </c>
    </row>
    <row r="6">
      <c r="A6" s="177" t="s">
        <v>6810</v>
      </c>
      <c r="B6" s="170" t="s">
        <v>6811</v>
      </c>
      <c r="C6" s="170" t="s">
        <v>6812</v>
      </c>
    </row>
    <row r="7">
      <c r="A7" s="177" t="s">
        <v>6810</v>
      </c>
      <c r="B7" s="61">
        <v>3.0</v>
      </c>
      <c r="C7" s="61">
        <v>3.0</v>
      </c>
    </row>
    <row r="12">
      <c r="A12" s="158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3" width="24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6658</v>
      </c>
      <c r="B2" s="173" t="s">
        <v>6107</v>
      </c>
      <c r="C2" s="169" t="s">
        <v>6813</v>
      </c>
      <c r="D2" s="169" t="s">
        <v>6813</v>
      </c>
    </row>
    <row r="3">
      <c r="A3" s="173" t="s">
        <v>6658</v>
      </c>
      <c r="B3" s="173" t="s">
        <v>6107</v>
      </c>
      <c r="C3" s="170" t="s">
        <v>6107</v>
      </c>
      <c r="D3" s="170" t="s">
        <v>6107</v>
      </c>
    </row>
    <row r="4">
      <c r="A4" s="170" t="s">
        <v>6662</v>
      </c>
      <c r="B4" s="170" t="s">
        <v>6111</v>
      </c>
      <c r="C4" s="170" t="s">
        <v>6671</v>
      </c>
      <c r="D4" s="170" t="s">
        <v>6671</v>
      </c>
    </row>
    <row r="5">
      <c r="A5" s="170" t="s">
        <v>6662</v>
      </c>
      <c r="B5" s="170" t="s">
        <v>6111</v>
      </c>
      <c r="C5" s="170" t="s">
        <v>6111</v>
      </c>
      <c r="D5" s="170" t="s">
        <v>6111</v>
      </c>
    </row>
    <row r="6">
      <c r="A6" s="178" t="s">
        <v>6814</v>
      </c>
      <c r="B6" s="174" t="s">
        <v>6114</v>
      </c>
      <c r="C6" s="170" t="s">
        <v>6815</v>
      </c>
      <c r="D6" s="170" t="s">
        <v>6815</v>
      </c>
    </row>
    <row r="7">
      <c r="A7" s="178" t="s">
        <v>6814</v>
      </c>
      <c r="B7" s="61">
        <v>3.0</v>
      </c>
      <c r="C7" s="61">
        <v>3.0</v>
      </c>
      <c r="D7" s="61">
        <v>3.0</v>
      </c>
    </row>
    <row r="12">
      <c r="A12" s="158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63"/>
    <col customWidth="1" min="2" max="2" width="18.75"/>
    <col customWidth="1" min="3" max="3" width="19.7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6816</v>
      </c>
      <c r="B2" s="169" t="s">
        <v>6817</v>
      </c>
      <c r="C2" s="169" t="s">
        <v>6818</v>
      </c>
    </row>
    <row r="3">
      <c r="A3" s="173" t="s">
        <v>6816</v>
      </c>
      <c r="B3" s="170" t="s">
        <v>6107</v>
      </c>
      <c r="C3" s="170" t="s">
        <v>6819</v>
      </c>
    </row>
    <row r="4">
      <c r="A4" s="170" t="s">
        <v>6820</v>
      </c>
      <c r="B4" s="170" t="s">
        <v>6821</v>
      </c>
      <c r="C4" s="170" t="s">
        <v>6822</v>
      </c>
    </row>
    <row r="5">
      <c r="A5" s="170" t="s">
        <v>6820</v>
      </c>
      <c r="B5" s="170" t="s">
        <v>6111</v>
      </c>
      <c r="C5" s="170" t="s">
        <v>6823</v>
      </c>
    </row>
    <row r="6">
      <c r="A6" s="170" t="s">
        <v>6824</v>
      </c>
      <c r="B6" s="170" t="s">
        <v>6825</v>
      </c>
      <c r="C6" s="170" t="s">
        <v>6826</v>
      </c>
    </row>
    <row r="7">
      <c r="A7" s="170" t="s">
        <v>6824</v>
      </c>
      <c r="B7" s="61">
        <v>3.0</v>
      </c>
      <c r="C7" s="61" t="s">
        <v>6827</v>
      </c>
    </row>
    <row r="8">
      <c r="A8" s="61" t="s">
        <v>6828</v>
      </c>
      <c r="B8" s="61" t="s">
        <v>6829</v>
      </c>
      <c r="C8" s="61" t="s">
        <v>6830</v>
      </c>
    </row>
    <row r="9">
      <c r="A9" s="61" t="s">
        <v>6828</v>
      </c>
      <c r="B9" s="61">
        <v>4.0</v>
      </c>
      <c r="C9" s="61" t="s">
        <v>6831</v>
      </c>
    </row>
    <row r="10">
      <c r="A10" s="61" t="s">
        <v>6832</v>
      </c>
      <c r="B10" s="61" t="s">
        <v>6833</v>
      </c>
      <c r="C10" s="61" t="s">
        <v>6834</v>
      </c>
    </row>
    <row r="11">
      <c r="A11" s="61" t="s">
        <v>6832</v>
      </c>
      <c r="B11" s="61">
        <v>5.0</v>
      </c>
      <c r="C11" s="61" t="s">
        <v>6835</v>
      </c>
    </row>
    <row r="12">
      <c r="A12" s="158" t="s">
        <v>6836</v>
      </c>
      <c r="B12" s="61" t="s">
        <v>6837</v>
      </c>
    </row>
    <row r="13">
      <c r="A13" s="158" t="s">
        <v>6836</v>
      </c>
      <c r="B13" s="61">
        <v>6.0</v>
      </c>
    </row>
    <row r="14">
      <c r="A14" s="158"/>
    </row>
    <row r="15">
      <c r="A15" s="158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0" t="s">
        <v>6838</v>
      </c>
      <c r="B2" s="170" t="s">
        <v>6107</v>
      </c>
      <c r="C2" s="164"/>
    </row>
    <row r="3">
      <c r="A3" s="170" t="s">
        <v>6839</v>
      </c>
      <c r="B3" s="170" t="s">
        <v>6111</v>
      </c>
      <c r="C3" s="164"/>
    </row>
    <row r="4">
      <c r="A4" s="170" t="s">
        <v>6840</v>
      </c>
      <c r="B4" s="170" t="s">
        <v>6114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6122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6123</v>
      </c>
      <c r="B4" s="158" t="s">
        <v>6114</v>
      </c>
      <c r="C4" s="158" t="s">
        <v>6111</v>
      </c>
      <c r="D4" s="158" t="s">
        <v>6114</v>
      </c>
      <c r="E4" s="158" t="s">
        <v>6114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0" t="s">
        <v>6841</v>
      </c>
      <c r="B2" s="170" t="s">
        <v>6107</v>
      </c>
      <c r="C2" s="164"/>
    </row>
    <row r="3">
      <c r="A3" s="170" t="s">
        <v>6842</v>
      </c>
      <c r="B3" s="170" t="s">
        <v>6111</v>
      </c>
      <c r="C3" s="164"/>
    </row>
    <row r="4">
      <c r="A4" s="170" t="s">
        <v>6586</v>
      </c>
      <c r="B4" s="170" t="s">
        <v>6114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0" t="s">
        <v>6843</v>
      </c>
      <c r="B2" s="170" t="s">
        <v>6107</v>
      </c>
      <c r="C2" s="164"/>
    </row>
    <row r="3">
      <c r="A3" s="170" t="s">
        <v>6844</v>
      </c>
      <c r="B3" s="170" t="s">
        <v>6111</v>
      </c>
      <c r="C3" s="164"/>
    </row>
    <row r="4">
      <c r="A4" s="170" t="s">
        <v>6845</v>
      </c>
      <c r="B4" s="170" t="s">
        <v>6114</v>
      </c>
      <c r="C4" s="164"/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2" width="4.88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0" t="s">
        <v>6846</v>
      </c>
      <c r="C2" s="170" t="s">
        <v>6107</v>
      </c>
    </row>
    <row r="3">
      <c r="A3" s="170" t="s">
        <v>2567</v>
      </c>
      <c r="C3" s="170" t="s">
        <v>6111</v>
      </c>
    </row>
    <row r="4">
      <c r="A4" s="158"/>
      <c r="B4" s="158"/>
      <c r="C4" s="158"/>
    </row>
    <row r="5">
      <c r="A5" s="158"/>
      <c r="B5" s="158"/>
      <c r="C5" s="158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0" t="s">
        <v>6847</v>
      </c>
      <c r="B2" s="61">
        <v>1.0</v>
      </c>
      <c r="D2" s="170" t="s">
        <v>6107</v>
      </c>
    </row>
    <row r="3">
      <c r="A3" s="170" t="s">
        <v>6848</v>
      </c>
      <c r="B3" s="61">
        <v>2.0</v>
      </c>
      <c r="D3" s="170" t="s">
        <v>6111</v>
      </c>
    </row>
    <row r="4">
      <c r="A4" s="158" t="s">
        <v>6849</v>
      </c>
      <c r="B4" s="158" t="s">
        <v>6114</v>
      </c>
      <c r="C4" s="158"/>
      <c r="D4" s="158" t="s">
        <v>6114</v>
      </c>
    </row>
    <row r="5">
      <c r="A5" s="158" t="s">
        <v>6850</v>
      </c>
      <c r="B5" s="158" t="s">
        <v>6129</v>
      </c>
      <c r="C5" s="158"/>
      <c r="D5" s="158" t="s">
        <v>6129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0.63"/>
    <col customWidth="1" min="2" max="3" width="4.88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0" t="s">
        <v>6851</v>
      </c>
      <c r="B2" s="61">
        <v>1.0</v>
      </c>
      <c r="D2" s="170" t="s">
        <v>6107</v>
      </c>
    </row>
    <row r="3">
      <c r="A3" s="170" t="s">
        <v>6852</v>
      </c>
      <c r="B3" s="61">
        <v>2.0</v>
      </c>
      <c r="D3" s="170" t="s">
        <v>6111</v>
      </c>
    </row>
    <row r="4">
      <c r="A4" s="158" t="s">
        <v>6853</v>
      </c>
      <c r="B4" s="158" t="s">
        <v>6114</v>
      </c>
      <c r="C4" s="158"/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38"/>
    <col customWidth="1" min="2" max="3" width="3.13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9" t="s">
        <v>6854</v>
      </c>
      <c r="B2" s="179" t="s">
        <v>6108</v>
      </c>
      <c r="C2" s="169" t="s">
        <v>6855</v>
      </c>
      <c r="D2" s="158"/>
    </row>
    <row r="3">
      <c r="A3" s="173" t="s">
        <v>6856</v>
      </c>
      <c r="B3" s="173" t="s">
        <v>6107</v>
      </c>
      <c r="C3" s="170"/>
      <c r="D3" s="158" t="s">
        <v>6107</v>
      </c>
    </row>
    <row r="4">
      <c r="A4" s="173" t="s">
        <v>6857</v>
      </c>
      <c r="B4" s="173" t="s">
        <v>6107</v>
      </c>
      <c r="C4" s="170"/>
      <c r="D4" s="158" t="s">
        <v>6111</v>
      </c>
    </row>
    <row r="5">
      <c r="A5" s="173" t="s">
        <v>6858</v>
      </c>
      <c r="B5" s="173" t="s">
        <v>6107</v>
      </c>
      <c r="C5" s="170"/>
      <c r="D5" s="169" t="s">
        <v>6114</v>
      </c>
    </row>
    <row r="6">
      <c r="A6" s="158" t="s">
        <v>6859</v>
      </c>
      <c r="B6" s="158" t="s">
        <v>6107</v>
      </c>
      <c r="C6" s="159"/>
      <c r="D6" s="158" t="s">
        <v>6129</v>
      </c>
    </row>
    <row r="7">
      <c r="A7" s="158" t="s">
        <v>6860</v>
      </c>
      <c r="B7" s="158" t="s">
        <v>6107</v>
      </c>
      <c r="C7" s="158" t="s">
        <v>6861</v>
      </c>
      <c r="D7" s="158"/>
    </row>
    <row r="8">
      <c r="A8" s="159"/>
      <c r="B8" s="159"/>
      <c r="C8" s="159"/>
      <c r="D8" s="159"/>
    </row>
    <row r="9">
      <c r="A9" s="159"/>
      <c r="B9" s="159"/>
      <c r="C9" s="159"/>
      <c r="D9" s="159"/>
    </row>
    <row r="10">
      <c r="A10" s="159"/>
      <c r="B10" s="159"/>
      <c r="C10" s="159"/>
      <c r="D10" s="159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6.88"/>
    <col customWidth="1" min="2" max="3" width="3.13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9" t="s">
        <v>6854</v>
      </c>
      <c r="B2" s="179" t="s">
        <v>6108</v>
      </c>
      <c r="C2" s="169" t="s">
        <v>6108</v>
      </c>
      <c r="D2" s="158" t="s">
        <v>6108</v>
      </c>
    </row>
    <row r="3">
      <c r="A3" s="173" t="s">
        <v>6862</v>
      </c>
      <c r="B3" s="173" t="s">
        <v>6107</v>
      </c>
      <c r="C3" s="170" t="s">
        <v>6107</v>
      </c>
      <c r="D3" s="158" t="s">
        <v>6107</v>
      </c>
    </row>
    <row r="4">
      <c r="A4" s="173" t="s">
        <v>6863</v>
      </c>
      <c r="B4" s="173" t="s">
        <v>6111</v>
      </c>
      <c r="C4" s="170" t="s">
        <v>6111</v>
      </c>
      <c r="D4" s="158" t="s">
        <v>6111</v>
      </c>
    </row>
    <row r="5">
      <c r="A5" s="173" t="s">
        <v>6864</v>
      </c>
      <c r="B5" s="173" t="s">
        <v>6114</v>
      </c>
      <c r="C5" s="170" t="s">
        <v>6114</v>
      </c>
      <c r="D5" s="169" t="s">
        <v>6114</v>
      </c>
    </row>
    <row r="6">
      <c r="A6" s="159"/>
      <c r="B6" s="159"/>
      <c r="C6" s="159"/>
      <c r="D6" s="159"/>
    </row>
    <row r="7">
      <c r="A7" s="159"/>
      <c r="B7" s="159"/>
      <c r="C7" s="159"/>
      <c r="D7" s="159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3" width="3.13"/>
    <col customWidth="1" min="4" max="4" width="3.5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6865</v>
      </c>
      <c r="B2" s="173" t="s">
        <v>6108</v>
      </c>
      <c r="C2" s="170" t="s">
        <v>6107</v>
      </c>
      <c r="D2" s="158" t="s">
        <v>6107</v>
      </c>
    </row>
    <row r="3">
      <c r="A3" s="173" t="s">
        <v>6866</v>
      </c>
      <c r="B3" s="173" t="s">
        <v>6107</v>
      </c>
      <c r="C3" s="170" t="s">
        <v>6111</v>
      </c>
      <c r="D3" s="158" t="s">
        <v>6111</v>
      </c>
    </row>
    <row r="4">
      <c r="A4" s="159"/>
      <c r="B4" s="159"/>
      <c r="C4" s="159"/>
      <c r="D4" s="159"/>
    </row>
    <row r="5">
      <c r="A5" s="159"/>
      <c r="B5" s="159"/>
      <c r="C5" s="159"/>
      <c r="D5" s="159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0.63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6867</v>
      </c>
      <c r="B2" s="170" t="s">
        <v>6107</v>
      </c>
      <c r="C2" s="158" t="s">
        <v>6107</v>
      </c>
    </row>
    <row r="3">
      <c r="A3" s="173" t="s">
        <v>6868</v>
      </c>
      <c r="B3" s="170" t="s">
        <v>6111</v>
      </c>
      <c r="C3" s="158" t="s">
        <v>6111</v>
      </c>
    </row>
    <row r="4">
      <c r="A4" s="158" t="s">
        <v>6869</v>
      </c>
      <c r="B4" s="158" t="s">
        <v>6114</v>
      </c>
      <c r="C4" s="158" t="s">
        <v>6114</v>
      </c>
    </row>
    <row r="5">
      <c r="A5" s="158" t="s">
        <v>6870</v>
      </c>
      <c r="B5" s="158" t="s">
        <v>6129</v>
      </c>
      <c r="C5" s="158" t="s">
        <v>6129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6871</v>
      </c>
      <c r="B2" s="161" t="s">
        <v>6215</v>
      </c>
      <c r="C2" s="161" t="s">
        <v>6215</v>
      </c>
    </row>
    <row r="3">
      <c r="A3" s="173" t="s">
        <v>6872</v>
      </c>
      <c r="B3" s="164" t="s">
        <v>6217</v>
      </c>
      <c r="C3" s="164" t="s">
        <v>6217</v>
      </c>
    </row>
    <row r="4">
      <c r="A4" s="158" t="s">
        <v>6873</v>
      </c>
      <c r="B4" s="164" t="s">
        <v>6219</v>
      </c>
      <c r="C4" s="164" t="s">
        <v>6219</v>
      </c>
    </row>
    <row r="5">
      <c r="A5" s="158" t="s">
        <v>6874</v>
      </c>
      <c r="B5" s="164" t="s">
        <v>6221</v>
      </c>
      <c r="C5" s="164" t="s">
        <v>6221</v>
      </c>
    </row>
    <row r="6">
      <c r="A6" s="158" t="s">
        <v>6875</v>
      </c>
      <c r="B6" s="164" t="s">
        <v>6223</v>
      </c>
      <c r="C6" s="164" t="s">
        <v>6223</v>
      </c>
    </row>
    <row r="7">
      <c r="A7" s="158" t="s">
        <v>6876</v>
      </c>
      <c r="B7" s="164" t="s">
        <v>6225</v>
      </c>
      <c r="C7" s="164" t="s">
        <v>6225</v>
      </c>
    </row>
    <row r="8">
      <c r="A8" s="158" t="s">
        <v>6877</v>
      </c>
      <c r="B8" s="164" t="s">
        <v>6227</v>
      </c>
      <c r="C8" s="164" t="s">
        <v>6227</v>
      </c>
    </row>
    <row r="9">
      <c r="A9" s="158" t="s">
        <v>6878</v>
      </c>
      <c r="B9" s="164" t="s">
        <v>6229</v>
      </c>
      <c r="C9" s="164" t="s">
        <v>6229</v>
      </c>
    </row>
    <row r="10">
      <c r="A10" s="158" t="s">
        <v>2567</v>
      </c>
      <c r="B10" s="164" t="s">
        <v>6231</v>
      </c>
      <c r="C10" s="164" t="s">
        <v>6231</v>
      </c>
    </row>
    <row r="11">
      <c r="A11" s="158" t="s">
        <v>6631</v>
      </c>
      <c r="B11" s="158"/>
      <c r="C11" s="158" t="s">
        <v>6609</v>
      </c>
    </row>
    <row r="12">
      <c r="A12" s="158" t="s">
        <v>6879</v>
      </c>
      <c r="B12" s="158"/>
      <c r="C12" s="158" t="s">
        <v>6243</v>
      </c>
    </row>
    <row r="13">
      <c r="A13" s="158" t="s">
        <v>6880</v>
      </c>
      <c r="B13" s="158"/>
      <c r="C13" s="158" t="s">
        <v>6245</v>
      </c>
    </row>
    <row r="14">
      <c r="A14" s="158" t="s">
        <v>6881</v>
      </c>
      <c r="B14" s="158"/>
      <c r="C14" s="158" t="s">
        <v>6882</v>
      </c>
    </row>
    <row r="15">
      <c r="A15" s="158" t="s">
        <v>6872</v>
      </c>
      <c r="B15" s="158"/>
      <c r="C15" s="158" t="s">
        <v>6883</v>
      </c>
    </row>
    <row r="16">
      <c r="A16" s="158" t="s">
        <v>6871</v>
      </c>
      <c r="B16" s="158"/>
      <c r="C16" s="158" t="s">
        <v>6253</v>
      </c>
    </row>
    <row r="17">
      <c r="A17" s="158" t="s">
        <v>6884</v>
      </c>
      <c r="B17" s="158"/>
      <c r="C17" s="158" t="s">
        <v>6255</v>
      </c>
    </row>
    <row r="18">
      <c r="A18" s="158" t="s">
        <v>6885</v>
      </c>
      <c r="B18" s="158"/>
      <c r="C18" s="158" t="s">
        <v>6257</v>
      </c>
    </row>
    <row r="19">
      <c r="A19" s="158" t="s">
        <v>6886</v>
      </c>
      <c r="B19" s="158"/>
      <c r="C19" s="158" t="s">
        <v>6887</v>
      </c>
    </row>
    <row r="20">
      <c r="A20" s="158" t="s">
        <v>6888</v>
      </c>
      <c r="B20" s="158"/>
      <c r="C20" s="158" t="s">
        <v>6889</v>
      </c>
    </row>
    <row r="21">
      <c r="A21" s="158" t="s">
        <v>6890</v>
      </c>
      <c r="B21" s="158"/>
      <c r="C21" s="158" t="s">
        <v>6891</v>
      </c>
    </row>
    <row r="22">
      <c r="A22" s="158" t="s">
        <v>6874</v>
      </c>
      <c r="B22" s="158"/>
      <c r="C22" s="158" t="s">
        <v>6892</v>
      </c>
    </row>
    <row r="23">
      <c r="A23" s="158" t="s">
        <v>6893</v>
      </c>
      <c r="B23" s="158"/>
      <c r="C23" s="158" t="s">
        <v>6894</v>
      </c>
    </row>
    <row r="24">
      <c r="A24" s="158" t="s">
        <v>2567</v>
      </c>
      <c r="B24" s="158"/>
      <c r="C24" s="158" t="s">
        <v>6895</v>
      </c>
    </row>
    <row r="25">
      <c r="A25" s="158" t="s">
        <v>6165</v>
      </c>
      <c r="B25" s="158"/>
      <c r="C25" s="158" t="s">
        <v>6295</v>
      </c>
    </row>
    <row r="26">
      <c r="A26" s="158"/>
      <c r="B26" s="158"/>
      <c r="C26" s="158"/>
    </row>
    <row r="27">
      <c r="A27" s="158"/>
      <c r="B27" s="158"/>
      <c r="C27" s="158"/>
    </row>
    <row r="28">
      <c r="A28" s="158"/>
      <c r="B28" s="158"/>
      <c r="C28" s="158"/>
    </row>
    <row r="29">
      <c r="A29" s="158"/>
      <c r="B29" s="158"/>
      <c r="C29" s="158"/>
    </row>
    <row r="30">
      <c r="A30" s="158"/>
      <c r="B30" s="158"/>
      <c r="C30" s="158"/>
    </row>
    <row r="31">
      <c r="A31" s="158"/>
      <c r="B31" s="158"/>
      <c r="C31" s="158"/>
    </row>
    <row r="32">
      <c r="A32" s="158"/>
      <c r="B32" s="158"/>
      <c r="C32" s="15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6124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6123</v>
      </c>
      <c r="B4" s="158" t="s">
        <v>6114</v>
      </c>
      <c r="C4" s="158" t="s">
        <v>6111</v>
      </c>
      <c r="D4" s="158" t="s">
        <v>6114</v>
      </c>
      <c r="E4" s="158" t="s">
        <v>6114</v>
      </c>
    </row>
    <row r="5">
      <c r="B5" s="158"/>
      <c r="C5" s="158"/>
      <c r="D5" s="158"/>
      <c r="E5" s="158"/>
    </row>
    <row r="6">
      <c r="B6" s="158"/>
      <c r="C6" s="158"/>
      <c r="D6" s="158"/>
      <c r="E6" s="158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6896</v>
      </c>
      <c r="B2" s="161" t="s">
        <v>6107</v>
      </c>
      <c r="C2" s="161" t="s">
        <v>6107</v>
      </c>
    </row>
    <row r="3">
      <c r="A3" s="173" t="s">
        <v>6897</v>
      </c>
      <c r="B3" s="164" t="s">
        <v>6111</v>
      </c>
      <c r="C3" s="164" t="s">
        <v>6111</v>
      </c>
    </row>
    <row r="4">
      <c r="A4" s="158" t="s">
        <v>6898</v>
      </c>
      <c r="B4" s="164" t="s">
        <v>6114</v>
      </c>
      <c r="C4" s="164" t="s">
        <v>6114</v>
      </c>
    </row>
    <row r="5">
      <c r="A5" s="158" t="s">
        <v>6899</v>
      </c>
      <c r="B5" s="164" t="s">
        <v>6129</v>
      </c>
      <c r="C5" s="164" t="s">
        <v>6129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6900</v>
      </c>
      <c r="B2" s="161" t="s">
        <v>6107</v>
      </c>
      <c r="C2" s="161" t="s">
        <v>6107</v>
      </c>
    </row>
    <row r="3">
      <c r="A3" s="173" t="s">
        <v>6901</v>
      </c>
      <c r="B3" s="164" t="s">
        <v>6111</v>
      </c>
    </row>
    <row r="4">
      <c r="A4" s="158" t="s">
        <v>6902</v>
      </c>
      <c r="B4" s="164" t="s">
        <v>6114</v>
      </c>
      <c r="C4" s="170"/>
    </row>
    <row r="5">
      <c r="A5" s="158" t="s">
        <v>6903</v>
      </c>
      <c r="B5" s="164"/>
      <c r="C5" s="170" t="s">
        <v>6111</v>
      </c>
    </row>
    <row r="6">
      <c r="A6" s="158" t="s">
        <v>6904</v>
      </c>
      <c r="B6" s="164" t="s">
        <v>6129</v>
      </c>
      <c r="C6" s="170" t="s">
        <v>6114</v>
      </c>
    </row>
    <row r="7">
      <c r="A7" s="158" t="s">
        <v>6905</v>
      </c>
      <c r="B7" s="158" t="s">
        <v>6171</v>
      </c>
      <c r="C7" s="158" t="s">
        <v>6129</v>
      </c>
    </row>
    <row r="8">
      <c r="A8" s="158" t="s">
        <v>6906</v>
      </c>
      <c r="B8" s="158"/>
      <c r="C8" s="158" t="s">
        <v>6171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6.2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6907</v>
      </c>
      <c r="B2" s="161" t="s">
        <v>6107</v>
      </c>
      <c r="C2" s="161" t="s">
        <v>6107</v>
      </c>
    </row>
    <row r="3">
      <c r="A3" s="173" t="s">
        <v>6908</v>
      </c>
      <c r="B3" s="164" t="s">
        <v>6111</v>
      </c>
      <c r="C3" s="164" t="s">
        <v>6111</v>
      </c>
    </row>
    <row r="4">
      <c r="A4" s="158" t="s">
        <v>6909</v>
      </c>
      <c r="B4" s="164" t="s">
        <v>6114</v>
      </c>
      <c r="C4" s="164" t="s">
        <v>6114</v>
      </c>
    </row>
    <row r="5">
      <c r="A5" s="158" t="s">
        <v>6910</v>
      </c>
      <c r="B5" s="164" t="s">
        <v>6129</v>
      </c>
      <c r="C5" s="164" t="s">
        <v>6129</v>
      </c>
    </row>
    <row r="6">
      <c r="A6" s="158"/>
      <c r="B6" s="158"/>
      <c r="C6" s="158"/>
    </row>
    <row r="7">
      <c r="A7" s="158"/>
      <c r="B7" s="158"/>
      <c r="C7" s="158"/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6900</v>
      </c>
      <c r="B2" s="161" t="s">
        <v>6107</v>
      </c>
      <c r="C2" s="161" t="s">
        <v>6107</v>
      </c>
    </row>
    <row r="3">
      <c r="A3" s="173" t="s">
        <v>6904</v>
      </c>
      <c r="B3" s="164" t="s">
        <v>6111</v>
      </c>
      <c r="C3" s="164" t="s">
        <v>6111</v>
      </c>
    </row>
    <row r="4">
      <c r="A4" s="158" t="s">
        <v>6911</v>
      </c>
      <c r="B4" s="164" t="s">
        <v>6114</v>
      </c>
      <c r="C4" s="164" t="s">
        <v>6114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6912</v>
      </c>
      <c r="B2" s="161"/>
      <c r="C2" s="161" t="s">
        <v>6107</v>
      </c>
    </row>
    <row r="3">
      <c r="A3" s="173" t="s">
        <v>6904</v>
      </c>
      <c r="B3" s="164"/>
      <c r="C3" s="164" t="s">
        <v>6111</v>
      </c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6913</v>
      </c>
      <c r="B2" s="161" t="s">
        <v>6107</v>
      </c>
      <c r="C2" s="161" t="s">
        <v>6107</v>
      </c>
    </row>
    <row r="3">
      <c r="A3" s="173" t="s">
        <v>6914</v>
      </c>
      <c r="B3" s="164" t="s">
        <v>6111</v>
      </c>
      <c r="C3" s="164" t="s">
        <v>6111</v>
      </c>
    </row>
    <row r="4">
      <c r="A4" s="158" t="s">
        <v>6915</v>
      </c>
      <c r="B4" s="164" t="s">
        <v>6114</v>
      </c>
      <c r="C4" s="164"/>
    </row>
    <row r="5">
      <c r="A5" s="158" t="s">
        <v>2537</v>
      </c>
      <c r="B5" s="158" t="s">
        <v>6129</v>
      </c>
      <c r="C5" s="158"/>
    </row>
    <row r="6">
      <c r="A6" s="158" t="s">
        <v>6916</v>
      </c>
      <c r="B6" s="158" t="s">
        <v>6171</v>
      </c>
      <c r="C6" s="158"/>
    </row>
    <row r="7">
      <c r="A7" s="158" t="s">
        <v>2567</v>
      </c>
      <c r="B7" s="158" t="s">
        <v>6173</v>
      </c>
      <c r="C7" s="158" t="s">
        <v>6181</v>
      </c>
    </row>
    <row r="8">
      <c r="A8" s="158"/>
      <c r="B8" s="158"/>
      <c r="C8" s="158"/>
    </row>
    <row r="9">
      <c r="A9" s="158"/>
      <c r="B9" s="158"/>
      <c r="C9" s="158"/>
    </row>
  </sheetData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6917</v>
      </c>
      <c r="B2" s="161" t="s">
        <v>6107</v>
      </c>
      <c r="C2" s="161" t="s">
        <v>6107</v>
      </c>
    </row>
    <row r="3">
      <c r="A3" s="173" t="s">
        <v>6918</v>
      </c>
      <c r="B3" s="164" t="s">
        <v>6111</v>
      </c>
      <c r="C3" s="164"/>
    </row>
    <row r="4">
      <c r="A4" s="158" t="s">
        <v>6919</v>
      </c>
      <c r="B4" s="164" t="s">
        <v>6114</v>
      </c>
      <c r="C4" s="164"/>
    </row>
    <row r="5">
      <c r="A5" s="158" t="s">
        <v>6920</v>
      </c>
      <c r="B5" s="158" t="s">
        <v>6129</v>
      </c>
      <c r="C5" s="158" t="s">
        <v>6111</v>
      </c>
    </row>
    <row r="6">
      <c r="A6" s="158" t="s">
        <v>2567</v>
      </c>
      <c r="B6" s="158" t="s">
        <v>6171</v>
      </c>
      <c r="C6" s="158" t="s">
        <v>6181</v>
      </c>
    </row>
    <row r="7">
      <c r="A7" s="158" t="s">
        <v>6921</v>
      </c>
      <c r="B7" s="158"/>
      <c r="C7" s="158" t="s">
        <v>6114</v>
      </c>
    </row>
    <row r="8">
      <c r="A8" s="158" t="s">
        <v>6922</v>
      </c>
      <c r="B8" s="158"/>
      <c r="C8" s="158" t="s">
        <v>6129</v>
      </c>
    </row>
    <row r="9">
      <c r="A9" s="158" t="s">
        <v>6923</v>
      </c>
      <c r="B9" s="158"/>
      <c r="C9" s="158" t="s">
        <v>6171</v>
      </c>
    </row>
    <row r="10">
      <c r="A10" s="158"/>
      <c r="B10" s="158"/>
      <c r="C10" s="158"/>
    </row>
    <row r="11">
      <c r="A11" s="158"/>
      <c r="B11" s="158"/>
      <c r="C11" s="158"/>
    </row>
  </sheetData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13"/>
    <col customWidth="1" min="3" max="3" width="3.5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1051</v>
      </c>
      <c r="B2" s="161"/>
      <c r="C2" s="161" t="s">
        <v>6107</v>
      </c>
    </row>
    <row r="3">
      <c r="A3" s="173" t="s">
        <v>6914</v>
      </c>
      <c r="B3" s="164"/>
      <c r="C3" s="164" t="s">
        <v>6111</v>
      </c>
    </row>
    <row r="4">
      <c r="A4" s="158" t="s">
        <v>6924</v>
      </c>
      <c r="B4" s="164"/>
      <c r="C4" s="164" t="s">
        <v>6114</v>
      </c>
    </row>
    <row r="5">
      <c r="A5" s="158" t="s">
        <v>6595</v>
      </c>
      <c r="B5" s="158"/>
      <c r="C5" s="158" t="s">
        <v>6129</v>
      </c>
    </row>
    <row r="6">
      <c r="A6" s="158" t="s">
        <v>3897</v>
      </c>
      <c r="B6" s="158"/>
      <c r="C6" s="158" t="s">
        <v>6171</v>
      </c>
    </row>
    <row r="7">
      <c r="A7" s="158" t="s">
        <v>2567</v>
      </c>
      <c r="B7" s="158"/>
      <c r="C7" s="158" t="s">
        <v>6181</v>
      </c>
    </row>
    <row r="8">
      <c r="A8" s="158"/>
      <c r="B8" s="158"/>
      <c r="C8" s="158"/>
    </row>
  </sheetData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6925</v>
      </c>
      <c r="B2" s="169" t="s">
        <v>6107</v>
      </c>
      <c r="C2" s="169" t="s">
        <v>6572</v>
      </c>
    </row>
    <row r="3">
      <c r="A3" s="173" t="s">
        <v>6926</v>
      </c>
      <c r="B3" s="170" t="s">
        <v>6111</v>
      </c>
      <c r="C3" s="170" t="s">
        <v>6574</v>
      </c>
    </row>
    <row r="4">
      <c r="A4" s="158" t="s">
        <v>6927</v>
      </c>
      <c r="B4" s="170" t="s">
        <v>6611</v>
      </c>
      <c r="C4" s="170" t="s">
        <v>6928</v>
      </c>
    </row>
    <row r="5">
      <c r="A5" s="158" t="s">
        <v>6929</v>
      </c>
      <c r="B5" s="158" t="s">
        <v>6613</v>
      </c>
      <c r="C5" s="158" t="s">
        <v>6930</v>
      </c>
    </row>
    <row r="6">
      <c r="A6" s="158" t="s">
        <v>6931</v>
      </c>
      <c r="B6" s="158" t="s">
        <v>6235</v>
      </c>
      <c r="C6" s="158" t="s">
        <v>6932</v>
      </c>
    </row>
    <row r="7">
      <c r="A7" s="158" t="s">
        <v>6933</v>
      </c>
      <c r="B7" s="158" t="s">
        <v>6237</v>
      </c>
      <c r="C7" s="158" t="s">
        <v>6934</v>
      </c>
    </row>
    <row r="8">
      <c r="A8" s="158" t="s">
        <v>6935</v>
      </c>
      <c r="B8" s="158" t="s">
        <v>6253</v>
      </c>
      <c r="C8" s="158" t="s">
        <v>6936</v>
      </c>
    </row>
    <row r="9">
      <c r="A9" s="158" t="s">
        <v>6937</v>
      </c>
      <c r="B9" s="158" t="s">
        <v>6255</v>
      </c>
      <c r="C9" s="158" t="s">
        <v>6938</v>
      </c>
    </row>
    <row r="10">
      <c r="A10" s="158" t="s">
        <v>6939</v>
      </c>
      <c r="B10" s="158" t="s">
        <v>6261</v>
      </c>
      <c r="C10" s="158" t="s">
        <v>6940</v>
      </c>
    </row>
    <row r="11">
      <c r="A11" s="158" t="s">
        <v>6941</v>
      </c>
      <c r="B11" s="158" t="s">
        <v>6942</v>
      </c>
      <c r="C11" s="158" t="s">
        <v>6943</v>
      </c>
    </row>
    <row r="12">
      <c r="A12" s="158" t="s">
        <v>6944</v>
      </c>
      <c r="B12" s="158" t="s">
        <v>6945</v>
      </c>
      <c r="C12" s="158" t="s">
        <v>6946</v>
      </c>
    </row>
    <row r="13">
      <c r="A13" s="158" t="s">
        <v>6947</v>
      </c>
      <c r="B13" s="158" t="s">
        <v>6948</v>
      </c>
      <c r="C13" s="158" t="s">
        <v>6949</v>
      </c>
    </row>
    <row r="14">
      <c r="A14" s="158" t="s">
        <v>6950</v>
      </c>
      <c r="B14" s="158" t="s">
        <v>6279</v>
      </c>
      <c r="C14" s="180" t="s">
        <v>6951</v>
      </c>
    </row>
    <row r="15">
      <c r="A15" s="158" t="s">
        <v>6952</v>
      </c>
      <c r="B15" s="158" t="s">
        <v>6281</v>
      </c>
      <c r="C15" s="180" t="s">
        <v>6953</v>
      </c>
    </row>
    <row r="16">
      <c r="A16" s="158" t="s">
        <v>6954</v>
      </c>
      <c r="B16" s="158" t="s">
        <v>6287</v>
      </c>
      <c r="C16" s="180" t="s">
        <v>6955</v>
      </c>
    </row>
    <row r="17">
      <c r="A17" s="158" t="s">
        <v>6956</v>
      </c>
      <c r="B17" s="158" t="s">
        <v>6289</v>
      </c>
      <c r="C17" s="180" t="s">
        <v>6957</v>
      </c>
    </row>
    <row r="18">
      <c r="A18" s="158" t="s">
        <v>6958</v>
      </c>
      <c r="B18" s="158" t="s">
        <v>6959</v>
      </c>
      <c r="C18" s="180" t="s">
        <v>6960</v>
      </c>
    </row>
    <row r="19">
      <c r="A19" s="158" t="s">
        <v>6961</v>
      </c>
      <c r="B19" s="158" t="s">
        <v>6962</v>
      </c>
      <c r="C19" s="180" t="s">
        <v>6963</v>
      </c>
    </row>
    <row r="20">
      <c r="A20" s="158" t="s">
        <v>6964</v>
      </c>
      <c r="B20" s="158" t="s">
        <v>6965</v>
      </c>
      <c r="C20" s="180" t="s">
        <v>6966</v>
      </c>
    </row>
    <row r="21">
      <c r="A21" s="158" t="s">
        <v>6967</v>
      </c>
      <c r="B21" s="158" t="s">
        <v>6968</v>
      </c>
      <c r="C21" s="180" t="s">
        <v>6969</v>
      </c>
    </row>
    <row r="22">
      <c r="A22" s="158" t="s">
        <v>6970</v>
      </c>
      <c r="B22" s="158" t="s">
        <v>6301</v>
      </c>
      <c r="C22" s="180" t="s">
        <v>6301</v>
      </c>
    </row>
    <row r="23">
      <c r="A23" s="158" t="s">
        <v>6971</v>
      </c>
      <c r="B23" s="158" t="s">
        <v>6303</v>
      </c>
      <c r="C23" s="180" t="s">
        <v>6303</v>
      </c>
    </row>
    <row r="24">
      <c r="A24" s="158" t="s">
        <v>6972</v>
      </c>
      <c r="B24" s="158" t="s">
        <v>6464</v>
      </c>
      <c r="C24" s="180" t="s">
        <v>6464</v>
      </c>
    </row>
    <row r="25">
      <c r="A25" s="158" t="s">
        <v>6973</v>
      </c>
      <c r="B25" s="158" t="s">
        <v>6466</v>
      </c>
      <c r="C25" s="180" t="s">
        <v>6466</v>
      </c>
    </row>
    <row r="26">
      <c r="A26" s="158" t="s">
        <v>6974</v>
      </c>
      <c r="B26" s="158" t="s">
        <v>6357</v>
      </c>
      <c r="C26" s="180" t="s">
        <v>6357</v>
      </c>
    </row>
    <row r="27">
      <c r="A27" s="158" t="s">
        <v>6975</v>
      </c>
      <c r="B27" s="158" t="s">
        <v>6488</v>
      </c>
      <c r="C27" s="180" t="s">
        <v>6488</v>
      </c>
    </row>
    <row r="28">
      <c r="A28" s="158" t="s">
        <v>6976</v>
      </c>
      <c r="B28" s="158" t="s">
        <v>6490</v>
      </c>
      <c r="C28" s="180" t="s">
        <v>6490</v>
      </c>
    </row>
    <row r="29">
      <c r="A29" s="158" t="s">
        <v>6977</v>
      </c>
      <c r="B29" s="158" t="s">
        <v>6492</v>
      </c>
      <c r="C29" s="180" t="s">
        <v>6492</v>
      </c>
    </row>
    <row r="30">
      <c r="A30" s="158" t="s">
        <v>6978</v>
      </c>
      <c r="B30" s="158" t="s">
        <v>6496</v>
      </c>
      <c r="C30" s="180" t="s">
        <v>6496</v>
      </c>
    </row>
    <row r="31">
      <c r="A31" s="158" t="s">
        <v>6979</v>
      </c>
      <c r="B31" s="158" t="s">
        <v>6498</v>
      </c>
      <c r="C31" s="180" t="s">
        <v>6498</v>
      </c>
    </row>
    <row r="32">
      <c r="A32" s="158" t="s">
        <v>6165</v>
      </c>
      <c r="B32" s="158" t="s">
        <v>6549</v>
      </c>
      <c r="C32" s="180" t="s">
        <v>6549</v>
      </c>
    </row>
    <row r="33">
      <c r="A33" s="158"/>
      <c r="B33" s="158"/>
      <c r="C33" s="158"/>
    </row>
    <row r="34">
      <c r="A34" s="158"/>
      <c r="B34" s="158"/>
      <c r="C34" s="158"/>
    </row>
  </sheetData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6980</v>
      </c>
      <c r="B2" s="173" t="s">
        <v>6108</v>
      </c>
      <c r="C2" s="169" t="s">
        <v>6107</v>
      </c>
      <c r="D2" s="169" t="s">
        <v>6107</v>
      </c>
    </row>
    <row r="3">
      <c r="A3" s="173" t="s">
        <v>6981</v>
      </c>
      <c r="B3" s="173" t="s">
        <v>6162</v>
      </c>
      <c r="C3" s="170" t="s">
        <v>6111</v>
      </c>
      <c r="D3" s="170" t="s">
        <v>6111</v>
      </c>
    </row>
    <row r="4">
      <c r="A4" s="158" t="s">
        <v>6982</v>
      </c>
      <c r="B4" s="174" t="s">
        <v>6107</v>
      </c>
      <c r="C4" s="170" t="s">
        <v>6114</v>
      </c>
      <c r="D4" s="170" t="s">
        <v>6114</v>
      </c>
    </row>
    <row r="5">
      <c r="A5" s="158" t="s">
        <v>6983</v>
      </c>
      <c r="B5" s="158" t="s">
        <v>6108</v>
      </c>
      <c r="C5" s="158"/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2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6125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6126</v>
      </c>
      <c r="B4" s="158" t="s">
        <v>6114</v>
      </c>
      <c r="C4" s="158" t="s">
        <v>6111</v>
      </c>
      <c r="D4" s="158" t="s">
        <v>6114</v>
      </c>
      <c r="E4" s="158" t="s">
        <v>6114</v>
      </c>
    </row>
    <row r="5">
      <c r="A5" s="61" t="s">
        <v>6127</v>
      </c>
      <c r="B5" s="158" t="s">
        <v>6114</v>
      </c>
      <c r="C5" s="158" t="s">
        <v>6114</v>
      </c>
      <c r="D5" s="158" t="s">
        <v>6115</v>
      </c>
      <c r="E5" s="158" t="s">
        <v>6115</v>
      </c>
    </row>
    <row r="6">
      <c r="A6" s="61" t="s">
        <v>6128</v>
      </c>
      <c r="B6" s="158" t="s">
        <v>6114</v>
      </c>
      <c r="C6" s="158" t="s">
        <v>6129</v>
      </c>
      <c r="D6" s="158" t="s">
        <v>6117</v>
      </c>
      <c r="E6" s="158" t="s">
        <v>6117</v>
      </c>
    </row>
    <row r="7">
      <c r="A7" s="61"/>
      <c r="B7" s="158"/>
      <c r="C7" s="158"/>
      <c r="D7" s="158"/>
      <c r="E7" s="158"/>
    </row>
    <row r="8">
      <c r="A8" s="61"/>
      <c r="B8" s="158"/>
      <c r="C8" s="158"/>
      <c r="D8" s="158"/>
      <c r="E8" s="158"/>
    </row>
  </sheetData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6984</v>
      </c>
      <c r="B2" s="173" t="s">
        <v>6107</v>
      </c>
      <c r="C2" s="169" t="s">
        <v>6107</v>
      </c>
      <c r="D2" s="169" t="s">
        <v>6107</v>
      </c>
    </row>
    <row r="3">
      <c r="A3" s="173" t="s">
        <v>6985</v>
      </c>
      <c r="B3" s="173" t="s">
        <v>6111</v>
      </c>
      <c r="C3" s="170" t="s">
        <v>6111</v>
      </c>
      <c r="D3" s="170" t="s">
        <v>6111</v>
      </c>
    </row>
    <row r="4">
      <c r="A4" s="158" t="s">
        <v>6986</v>
      </c>
      <c r="B4" s="174" t="s">
        <v>6114</v>
      </c>
      <c r="C4" s="170" t="s">
        <v>6114</v>
      </c>
      <c r="D4" s="170" t="s">
        <v>6114</v>
      </c>
    </row>
    <row r="5">
      <c r="A5" s="158" t="s">
        <v>6987</v>
      </c>
      <c r="B5" s="158" t="s">
        <v>6129</v>
      </c>
      <c r="C5" s="158" t="s">
        <v>6129</v>
      </c>
      <c r="D5" s="158" t="s">
        <v>6129</v>
      </c>
    </row>
    <row r="6">
      <c r="A6" s="158" t="s">
        <v>6988</v>
      </c>
      <c r="B6" s="158" t="s">
        <v>6171</v>
      </c>
      <c r="C6" s="158" t="s">
        <v>6171</v>
      </c>
      <c r="D6" s="158" t="s">
        <v>6171</v>
      </c>
    </row>
    <row r="7">
      <c r="A7" s="158" t="s">
        <v>6989</v>
      </c>
      <c r="B7" s="158" t="s">
        <v>6173</v>
      </c>
      <c r="C7" s="158" t="s">
        <v>6173</v>
      </c>
      <c r="D7" s="158" t="s">
        <v>6173</v>
      </c>
    </row>
    <row r="8">
      <c r="A8" s="158" t="s">
        <v>6990</v>
      </c>
      <c r="B8" s="158" t="s">
        <v>6175</v>
      </c>
      <c r="C8" s="158" t="s">
        <v>6175</v>
      </c>
      <c r="D8" s="158" t="s">
        <v>6175</v>
      </c>
    </row>
    <row r="9">
      <c r="A9" s="158" t="s">
        <v>6991</v>
      </c>
      <c r="B9" s="158" t="s">
        <v>6176</v>
      </c>
      <c r="C9" s="158" t="s">
        <v>6176</v>
      </c>
      <c r="D9" s="158" t="s">
        <v>6176</v>
      </c>
    </row>
    <row r="10">
      <c r="A10" s="158"/>
      <c r="B10" s="158"/>
      <c r="C10" s="158"/>
      <c r="D10" s="158"/>
    </row>
    <row r="11">
      <c r="A11" s="158"/>
      <c r="B11" s="158"/>
      <c r="C11" s="158"/>
      <c r="D11" s="158"/>
    </row>
  </sheetData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6992</v>
      </c>
      <c r="B2" s="169" t="s">
        <v>6107</v>
      </c>
      <c r="C2" s="169" t="s">
        <v>6107</v>
      </c>
    </row>
    <row r="3">
      <c r="A3" s="173" t="s">
        <v>6993</v>
      </c>
      <c r="B3" s="170" t="s">
        <v>6111</v>
      </c>
      <c r="C3" s="170" t="s">
        <v>6111</v>
      </c>
    </row>
    <row r="4">
      <c r="A4" s="158" t="s">
        <v>2567</v>
      </c>
      <c r="B4" s="170" t="s">
        <v>6114</v>
      </c>
      <c r="C4" s="170" t="s">
        <v>6114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6994</v>
      </c>
      <c r="B2" s="169" t="s">
        <v>6107</v>
      </c>
      <c r="C2" s="169" t="s">
        <v>6107</v>
      </c>
    </row>
    <row r="3">
      <c r="A3" s="173" t="s">
        <v>6995</v>
      </c>
      <c r="B3" s="170" t="s">
        <v>6111</v>
      </c>
      <c r="C3" s="170" t="s">
        <v>6111</v>
      </c>
    </row>
    <row r="4">
      <c r="A4" s="158" t="s">
        <v>6996</v>
      </c>
      <c r="B4" s="170" t="s">
        <v>6114</v>
      </c>
      <c r="C4" s="170" t="s">
        <v>6114</v>
      </c>
    </row>
    <row r="5">
      <c r="A5" s="158" t="s">
        <v>6997</v>
      </c>
      <c r="B5" s="158" t="s">
        <v>6129</v>
      </c>
      <c r="C5" s="158"/>
    </row>
    <row r="6">
      <c r="A6" s="158"/>
      <c r="B6" s="158"/>
      <c r="C6" s="158"/>
    </row>
  </sheetData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73" t="s">
        <v>6998</v>
      </c>
      <c r="B2" s="173" t="s">
        <v>6107</v>
      </c>
      <c r="C2" s="169" t="s">
        <v>6107</v>
      </c>
      <c r="D2" s="169" t="s">
        <v>6107</v>
      </c>
    </row>
    <row r="3">
      <c r="A3" s="173" t="s">
        <v>6999</v>
      </c>
      <c r="B3" s="173" t="s">
        <v>6108</v>
      </c>
      <c r="C3" s="170" t="s">
        <v>6111</v>
      </c>
      <c r="D3" s="170" t="s">
        <v>6111</v>
      </c>
    </row>
    <row r="4">
      <c r="A4" s="158"/>
      <c r="B4" s="158"/>
      <c r="C4" s="158"/>
      <c r="D4" s="158"/>
    </row>
  </sheetData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73" t="s">
        <v>7000</v>
      </c>
      <c r="B2" s="169" t="s">
        <v>6107</v>
      </c>
      <c r="C2" s="169" t="s">
        <v>6107</v>
      </c>
    </row>
    <row r="3">
      <c r="A3" s="173" t="s">
        <v>7001</v>
      </c>
      <c r="B3" s="170" t="s">
        <v>6111</v>
      </c>
      <c r="C3" s="170" t="s">
        <v>6111</v>
      </c>
    </row>
    <row r="4">
      <c r="A4" s="158" t="s">
        <v>7002</v>
      </c>
      <c r="B4" s="158" t="s">
        <v>6114</v>
      </c>
      <c r="C4" s="158" t="s">
        <v>6114</v>
      </c>
    </row>
    <row r="5">
      <c r="A5" s="158" t="s">
        <v>7003</v>
      </c>
      <c r="B5" s="158" t="s">
        <v>6129</v>
      </c>
      <c r="C5" s="158" t="s">
        <v>6129</v>
      </c>
    </row>
    <row r="6">
      <c r="A6" s="158" t="s">
        <v>2567</v>
      </c>
      <c r="B6" s="158" t="s">
        <v>6181</v>
      </c>
      <c r="C6" s="158" t="s">
        <v>6181</v>
      </c>
    </row>
    <row r="7">
      <c r="A7" s="158"/>
      <c r="B7" s="158"/>
      <c r="C7" s="158"/>
    </row>
  </sheetData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7004</v>
      </c>
      <c r="B2" s="169" t="s">
        <v>6107</v>
      </c>
      <c r="C2" s="169" t="s">
        <v>6107</v>
      </c>
    </row>
    <row r="3">
      <c r="A3" s="173" t="s">
        <v>7005</v>
      </c>
      <c r="B3" s="170" t="s">
        <v>6111</v>
      </c>
      <c r="C3" s="170" t="s">
        <v>6111</v>
      </c>
    </row>
    <row r="4">
      <c r="A4" s="158" t="s">
        <v>7006</v>
      </c>
      <c r="B4" s="158" t="s">
        <v>6114</v>
      </c>
      <c r="C4" s="158" t="s">
        <v>6114</v>
      </c>
    </row>
    <row r="5">
      <c r="A5" s="158" t="s">
        <v>7007</v>
      </c>
      <c r="B5" s="158" t="s">
        <v>6129</v>
      </c>
      <c r="C5" s="158" t="s">
        <v>6129</v>
      </c>
    </row>
    <row r="6">
      <c r="A6" s="158" t="s">
        <v>7008</v>
      </c>
      <c r="B6" s="158" t="s">
        <v>6171</v>
      </c>
      <c r="C6" s="158" t="s">
        <v>6171</v>
      </c>
    </row>
    <row r="7">
      <c r="A7" s="158" t="s">
        <v>7009</v>
      </c>
      <c r="B7" s="158" t="s">
        <v>6173</v>
      </c>
      <c r="C7" s="158" t="s">
        <v>6173</v>
      </c>
    </row>
    <row r="8">
      <c r="A8" s="158" t="s">
        <v>7010</v>
      </c>
      <c r="B8" s="158" t="s">
        <v>6175</v>
      </c>
      <c r="C8" s="158" t="s">
        <v>6175</v>
      </c>
    </row>
    <row r="9">
      <c r="A9" s="158" t="s">
        <v>7011</v>
      </c>
      <c r="B9" s="158" t="s">
        <v>6176</v>
      </c>
      <c r="C9" s="158" t="s">
        <v>6176</v>
      </c>
    </row>
    <row r="10">
      <c r="A10" s="158" t="s">
        <v>7012</v>
      </c>
      <c r="B10" s="158" t="s">
        <v>6181</v>
      </c>
      <c r="C10" s="158" t="s">
        <v>6181</v>
      </c>
    </row>
    <row r="11">
      <c r="A11" s="158" t="s">
        <v>7013</v>
      </c>
      <c r="B11" s="158" t="s">
        <v>6609</v>
      </c>
      <c r="C11" s="158" t="s">
        <v>6609</v>
      </c>
    </row>
    <row r="12">
      <c r="A12" s="158" t="s">
        <v>7014</v>
      </c>
      <c r="B12" s="158" t="s">
        <v>6611</v>
      </c>
      <c r="C12" s="158" t="s">
        <v>6611</v>
      </c>
    </row>
    <row r="13">
      <c r="A13" s="158" t="s">
        <v>7015</v>
      </c>
      <c r="B13" s="158" t="s">
        <v>6613</v>
      </c>
      <c r="C13" s="158" t="s">
        <v>6613</v>
      </c>
    </row>
    <row r="14">
      <c r="A14" s="158" t="s">
        <v>7016</v>
      </c>
      <c r="B14" s="158" t="s">
        <v>6615</v>
      </c>
      <c r="C14" s="158" t="s">
        <v>6615</v>
      </c>
    </row>
    <row r="15">
      <c r="A15" s="158" t="s">
        <v>7017</v>
      </c>
      <c r="B15" s="158" t="s">
        <v>6617</v>
      </c>
      <c r="C15" s="158" t="s">
        <v>6617</v>
      </c>
    </row>
    <row r="16">
      <c r="A16" s="158" t="s">
        <v>7018</v>
      </c>
      <c r="B16" s="158" t="s">
        <v>6619</v>
      </c>
      <c r="C16" s="158" t="s">
        <v>6619</v>
      </c>
    </row>
    <row r="17">
      <c r="A17" s="158" t="s">
        <v>7019</v>
      </c>
      <c r="B17" s="158" t="s">
        <v>6621</v>
      </c>
      <c r="C17" s="158" t="s">
        <v>6621</v>
      </c>
    </row>
    <row r="18">
      <c r="A18" s="158" t="s">
        <v>7020</v>
      </c>
      <c r="B18" s="158" t="s">
        <v>6623</v>
      </c>
      <c r="C18" s="158" t="s">
        <v>6623</v>
      </c>
    </row>
    <row r="19">
      <c r="A19" s="158" t="s">
        <v>7021</v>
      </c>
      <c r="B19" s="158" t="s">
        <v>6625</v>
      </c>
      <c r="C19" s="158" t="s">
        <v>6625</v>
      </c>
    </row>
    <row r="20">
      <c r="A20" s="158" t="s">
        <v>7003</v>
      </c>
      <c r="B20" s="158" t="s">
        <v>6627</v>
      </c>
      <c r="C20" s="158" t="s">
        <v>6627</v>
      </c>
    </row>
    <row r="21">
      <c r="A21" s="158" t="s">
        <v>2567</v>
      </c>
      <c r="B21" s="158" t="s">
        <v>6233</v>
      </c>
      <c r="C21" s="158" t="s">
        <v>6233</v>
      </c>
    </row>
    <row r="22">
      <c r="A22" s="158" t="s">
        <v>7022</v>
      </c>
      <c r="B22" s="158" t="s">
        <v>6235</v>
      </c>
      <c r="C22" s="158" t="s">
        <v>6235</v>
      </c>
    </row>
    <row r="23">
      <c r="A23" s="158" t="s">
        <v>7023</v>
      </c>
      <c r="B23" s="158" t="s">
        <v>6237</v>
      </c>
      <c r="C23" s="158" t="s">
        <v>6237</v>
      </c>
    </row>
    <row r="24">
      <c r="A24" s="158" t="s">
        <v>7024</v>
      </c>
      <c r="B24" s="158" t="s">
        <v>6239</v>
      </c>
      <c r="C24" s="158" t="s">
        <v>6239</v>
      </c>
    </row>
    <row r="25">
      <c r="A25" s="158" t="s">
        <v>7025</v>
      </c>
      <c r="B25" s="158" t="s">
        <v>6241</v>
      </c>
      <c r="C25" s="158" t="s">
        <v>6241</v>
      </c>
    </row>
    <row r="26">
      <c r="A26" s="158"/>
      <c r="B26" s="158"/>
      <c r="C26" s="158"/>
    </row>
  </sheetData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6980</v>
      </c>
      <c r="B2" s="169" t="s">
        <v>6107</v>
      </c>
      <c r="C2" s="169" t="s">
        <v>6107</v>
      </c>
    </row>
    <row r="3">
      <c r="A3" s="173" t="s">
        <v>7026</v>
      </c>
      <c r="B3" s="170" t="s">
        <v>6111</v>
      </c>
      <c r="C3" s="170" t="s">
        <v>6111</v>
      </c>
    </row>
    <row r="4">
      <c r="A4" s="158" t="s">
        <v>7027</v>
      </c>
      <c r="B4" s="158" t="s">
        <v>6114</v>
      </c>
      <c r="C4" s="158" t="s">
        <v>6114</v>
      </c>
    </row>
    <row r="5">
      <c r="A5" s="158"/>
      <c r="B5" s="158"/>
      <c r="C5" s="158"/>
    </row>
    <row r="6">
      <c r="A6" s="158"/>
      <c r="B6" s="158"/>
      <c r="C6" s="158"/>
    </row>
  </sheetData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7028</v>
      </c>
      <c r="B2" s="169" t="s">
        <v>6107</v>
      </c>
      <c r="C2" s="169" t="s">
        <v>6107</v>
      </c>
    </row>
    <row r="3">
      <c r="A3" s="173" t="s">
        <v>7029</v>
      </c>
      <c r="B3" s="170" t="s">
        <v>6111</v>
      </c>
      <c r="C3" s="170" t="s">
        <v>6111</v>
      </c>
    </row>
    <row r="4">
      <c r="A4" s="158" t="s">
        <v>7030</v>
      </c>
      <c r="B4" s="158" t="s">
        <v>6114</v>
      </c>
      <c r="C4" s="158" t="s">
        <v>6114</v>
      </c>
    </row>
    <row r="5">
      <c r="A5" s="158" t="s">
        <v>2567</v>
      </c>
      <c r="B5" s="158" t="s">
        <v>6129</v>
      </c>
      <c r="C5" s="158" t="s">
        <v>6129</v>
      </c>
    </row>
    <row r="6">
      <c r="A6" s="158"/>
      <c r="B6" s="158"/>
      <c r="C6" s="158"/>
    </row>
  </sheetData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7031</v>
      </c>
      <c r="B2" s="169" t="s">
        <v>6107</v>
      </c>
      <c r="C2" s="169" t="s">
        <v>6107</v>
      </c>
      <c r="D2" s="169" t="s">
        <v>6107</v>
      </c>
    </row>
    <row r="3">
      <c r="A3" s="173" t="s">
        <v>7032</v>
      </c>
      <c r="B3" s="173" t="s">
        <v>6111</v>
      </c>
      <c r="C3" s="170" t="s">
        <v>6111</v>
      </c>
      <c r="D3" s="170" t="s">
        <v>6111</v>
      </c>
    </row>
    <row r="4">
      <c r="A4" s="158"/>
      <c r="B4" s="158"/>
      <c r="C4" s="158"/>
      <c r="D4" s="158"/>
    </row>
  </sheetData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7033</v>
      </c>
      <c r="B2" s="169" t="s">
        <v>6107</v>
      </c>
      <c r="C2" s="169"/>
      <c r="D2" s="169" t="s">
        <v>6107</v>
      </c>
    </row>
    <row r="3">
      <c r="A3" s="173" t="s">
        <v>7034</v>
      </c>
      <c r="B3" s="173" t="s">
        <v>6111</v>
      </c>
      <c r="C3" s="170"/>
      <c r="D3" s="170" t="s">
        <v>6111</v>
      </c>
    </row>
    <row r="4">
      <c r="A4" s="158"/>
      <c r="B4" s="158"/>
      <c r="C4" s="158"/>
      <c r="D4" s="15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88"/>
    <col customWidth="1" min="2" max="2" width="4.0"/>
    <col customWidth="1" min="3" max="3" width="5.38"/>
    <col customWidth="1" min="4" max="4" width="3.13"/>
    <col customWidth="1" min="5" max="5" width="3.5"/>
  </cols>
  <sheetData>
    <row r="1">
      <c r="A1" s="61" t="s">
        <v>6103</v>
      </c>
      <c r="B1" s="158" t="s">
        <v>6104</v>
      </c>
      <c r="C1" s="158" t="s">
        <v>6105</v>
      </c>
      <c r="D1" s="158" t="s">
        <v>8</v>
      </c>
      <c r="E1" s="61" t="s">
        <v>9</v>
      </c>
    </row>
    <row r="2">
      <c r="A2" s="61" t="s">
        <v>6106</v>
      </c>
      <c r="B2" s="158" t="s">
        <v>6107</v>
      </c>
      <c r="C2" s="158" t="s">
        <v>6108</v>
      </c>
      <c r="D2" s="158" t="s">
        <v>6107</v>
      </c>
      <c r="E2" s="158" t="s">
        <v>6107</v>
      </c>
    </row>
    <row r="3">
      <c r="A3" s="61" t="s">
        <v>6130</v>
      </c>
      <c r="B3" s="158" t="s">
        <v>6111</v>
      </c>
      <c r="C3" s="158" t="s">
        <v>6107</v>
      </c>
      <c r="D3" s="158" t="s">
        <v>6111</v>
      </c>
      <c r="E3" s="158" t="s">
        <v>6111</v>
      </c>
    </row>
    <row r="4">
      <c r="A4" s="61" t="s">
        <v>6131</v>
      </c>
      <c r="B4" s="158" t="s">
        <v>6114</v>
      </c>
      <c r="C4" s="158" t="s">
        <v>6111</v>
      </c>
      <c r="D4" s="158" t="s">
        <v>6114</v>
      </c>
      <c r="E4" s="158" t="s">
        <v>6114</v>
      </c>
    </row>
    <row r="5">
      <c r="B5" s="159"/>
      <c r="C5" s="159"/>
      <c r="D5" s="159"/>
    </row>
    <row r="6">
      <c r="B6" s="159"/>
      <c r="C6" s="159"/>
      <c r="D6" s="159"/>
    </row>
  </sheetData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2" width="3.75"/>
    <col customWidth="1" min="3" max="3" width="9.38"/>
  </cols>
  <sheetData>
    <row r="1">
      <c r="A1" s="158" t="s">
        <v>6103</v>
      </c>
      <c r="B1" s="158" t="s">
        <v>8</v>
      </c>
      <c r="C1" s="158" t="s">
        <v>9</v>
      </c>
    </row>
    <row r="2">
      <c r="A2" s="181" t="s">
        <v>7035</v>
      </c>
      <c r="B2" s="169" t="s">
        <v>6107</v>
      </c>
      <c r="C2" s="169" t="s">
        <v>6107</v>
      </c>
    </row>
    <row r="3">
      <c r="A3" s="173" t="s">
        <v>7036</v>
      </c>
      <c r="B3" s="170" t="s">
        <v>6111</v>
      </c>
      <c r="C3" s="170" t="s">
        <v>6111</v>
      </c>
    </row>
    <row r="4">
      <c r="A4" s="158" t="s">
        <v>3897</v>
      </c>
      <c r="B4" s="158" t="s">
        <v>6114</v>
      </c>
      <c r="C4" s="158" t="s">
        <v>6114</v>
      </c>
    </row>
    <row r="5">
      <c r="A5" s="158" t="s">
        <v>7037</v>
      </c>
      <c r="B5" s="158" t="s">
        <v>6129</v>
      </c>
      <c r="C5" s="158" t="s">
        <v>6129</v>
      </c>
    </row>
    <row r="6">
      <c r="A6" s="158" t="s">
        <v>7038</v>
      </c>
      <c r="B6" s="158" t="s">
        <v>6171</v>
      </c>
      <c r="C6" s="158" t="s">
        <v>6171</v>
      </c>
    </row>
    <row r="7">
      <c r="A7" s="158" t="s">
        <v>7039</v>
      </c>
      <c r="B7" s="158" t="s">
        <v>6173</v>
      </c>
      <c r="C7" s="158" t="s">
        <v>6173</v>
      </c>
    </row>
    <row r="8">
      <c r="A8" s="158" t="s">
        <v>2567</v>
      </c>
      <c r="B8" s="158" t="s">
        <v>6175</v>
      </c>
      <c r="C8" s="158" t="s">
        <v>6175</v>
      </c>
    </row>
    <row r="9">
      <c r="A9" s="158" t="s">
        <v>6126</v>
      </c>
      <c r="B9" s="158" t="s">
        <v>6176</v>
      </c>
      <c r="C9" s="158" t="s">
        <v>6176</v>
      </c>
    </row>
    <row r="10">
      <c r="A10" s="158" t="s">
        <v>7040</v>
      </c>
      <c r="B10" s="158" t="s">
        <v>6181</v>
      </c>
      <c r="C10" s="158" t="s">
        <v>6181</v>
      </c>
    </row>
    <row r="11">
      <c r="A11" s="158" t="s">
        <v>7041</v>
      </c>
      <c r="B11" s="158" t="s">
        <v>6609</v>
      </c>
      <c r="C11" s="158" t="s">
        <v>6609</v>
      </c>
    </row>
    <row r="12">
      <c r="A12" s="158" t="s">
        <v>7042</v>
      </c>
      <c r="B12" s="158" t="s">
        <v>6611</v>
      </c>
      <c r="C12" s="158" t="s">
        <v>6611</v>
      </c>
    </row>
    <row r="13">
      <c r="A13" s="158" t="s">
        <v>7043</v>
      </c>
      <c r="B13" s="158" t="s">
        <v>6613</v>
      </c>
      <c r="C13" s="158" t="s">
        <v>6613</v>
      </c>
    </row>
    <row r="14">
      <c r="A14" s="158" t="s">
        <v>7044</v>
      </c>
      <c r="B14" s="158" t="s">
        <v>6615</v>
      </c>
      <c r="C14" s="158" t="s">
        <v>6615</v>
      </c>
    </row>
    <row r="15">
      <c r="A15" s="158" t="s">
        <v>7045</v>
      </c>
      <c r="B15" s="158" t="s">
        <v>6617</v>
      </c>
      <c r="C15" s="158" t="s">
        <v>6617</v>
      </c>
    </row>
    <row r="16">
      <c r="A16" s="158"/>
      <c r="B16" s="158"/>
      <c r="C16" s="158"/>
    </row>
    <row r="17">
      <c r="A17" s="158"/>
      <c r="B17" s="158"/>
      <c r="C17" s="158"/>
    </row>
  </sheetData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7046</v>
      </c>
      <c r="B2" s="169" t="s">
        <v>6107</v>
      </c>
      <c r="C2" s="169" t="s">
        <v>6107</v>
      </c>
      <c r="D2" s="169" t="s">
        <v>6107</v>
      </c>
    </row>
    <row r="3">
      <c r="A3" s="173" t="s">
        <v>6980</v>
      </c>
      <c r="B3" s="173" t="s">
        <v>6108</v>
      </c>
      <c r="C3" s="170" t="s">
        <v>6111</v>
      </c>
      <c r="D3" s="170" t="s">
        <v>6111</v>
      </c>
    </row>
    <row r="4">
      <c r="A4" s="158" t="s">
        <v>7047</v>
      </c>
      <c r="B4" s="158" t="s">
        <v>6162</v>
      </c>
      <c r="C4" s="158" t="s">
        <v>6114</v>
      </c>
      <c r="D4" s="158" t="s">
        <v>6114</v>
      </c>
    </row>
    <row r="5">
      <c r="A5" s="158" t="s">
        <v>7048</v>
      </c>
      <c r="B5" s="158"/>
      <c r="C5" s="158" t="s">
        <v>6129</v>
      </c>
      <c r="D5" s="158" t="s">
        <v>6129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6599</v>
      </c>
      <c r="B2" s="169" t="s">
        <v>6108</v>
      </c>
      <c r="C2" s="169" t="s">
        <v>6107</v>
      </c>
      <c r="D2" s="169" t="s">
        <v>6107</v>
      </c>
    </row>
    <row r="3">
      <c r="A3" s="173" t="s">
        <v>7049</v>
      </c>
      <c r="B3" s="173" t="s">
        <v>6107</v>
      </c>
      <c r="C3" s="170" t="s">
        <v>6111</v>
      </c>
      <c r="D3" s="170" t="s">
        <v>6111</v>
      </c>
    </row>
    <row r="4">
      <c r="A4" s="158" t="s">
        <v>7050</v>
      </c>
      <c r="B4" s="158" t="s">
        <v>6111</v>
      </c>
      <c r="C4" s="158" t="s">
        <v>6114</v>
      </c>
      <c r="D4" s="158" t="s">
        <v>6114</v>
      </c>
    </row>
    <row r="5">
      <c r="A5" s="158" t="s">
        <v>7051</v>
      </c>
      <c r="B5" s="158" t="s">
        <v>6114</v>
      </c>
      <c r="C5" s="158" t="s">
        <v>6129</v>
      </c>
      <c r="D5" s="158" t="s">
        <v>6129</v>
      </c>
    </row>
    <row r="6">
      <c r="A6" s="158" t="s">
        <v>7052</v>
      </c>
      <c r="B6" s="158" t="s">
        <v>6129</v>
      </c>
      <c r="C6" s="158" t="s">
        <v>6171</v>
      </c>
      <c r="D6" s="158" t="s">
        <v>6171</v>
      </c>
    </row>
    <row r="7">
      <c r="A7" s="158"/>
      <c r="B7" s="158"/>
      <c r="C7" s="158"/>
      <c r="D7" s="158"/>
    </row>
  </sheetData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7053</v>
      </c>
      <c r="B2" s="169" t="s">
        <v>6108</v>
      </c>
      <c r="C2" s="169" t="s">
        <v>6107</v>
      </c>
      <c r="D2" s="169" t="s">
        <v>6107</v>
      </c>
    </row>
    <row r="3">
      <c r="A3" s="173" t="s">
        <v>7054</v>
      </c>
      <c r="B3" s="173" t="s">
        <v>6107</v>
      </c>
      <c r="C3" s="170" t="s">
        <v>6111</v>
      </c>
      <c r="D3" s="170" t="s">
        <v>6111</v>
      </c>
    </row>
    <row r="4">
      <c r="A4" s="158" t="s">
        <v>7055</v>
      </c>
      <c r="B4" s="158" t="s">
        <v>6162</v>
      </c>
      <c r="C4" s="158" t="s">
        <v>6114</v>
      </c>
      <c r="D4" s="158" t="s">
        <v>6114</v>
      </c>
    </row>
    <row r="5">
      <c r="A5" s="158" t="s">
        <v>6165</v>
      </c>
      <c r="B5" s="158"/>
      <c r="C5" s="158" t="s">
        <v>6129</v>
      </c>
      <c r="D5" s="158" t="s">
        <v>6129</v>
      </c>
    </row>
    <row r="6">
      <c r="A6" s="158"/>
      <c r="B6" s="158"/>
      <c r="C6" s="158"/>
      <c r="D6" s="158"/>
    </row>
  </sheetData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7056</v>
      </c>
      <c r="B2" s="169" t="s">
        <v>6108</v>
      </c>
      <c r="C2" s="169" t="s">
        <v>6107</v>
      </c>
      <c r="D2" s="169" t="s">
        <v>6107</v>
      </c>
    </row>
    <row r="3">
      <c r="A3" s="173" t="s">
        <v>7057</v>
      </c>
      <c r="B3" s="173" t="s">
        <v>6107</v>
      </c>
      <c r="C3" s="170" t="s">
        <v>6111</v>
      </c>
      <c r="D3" s="170" t="s">
        <v>6111</v>
      </c>
    </row>
    <row r="4">
      <c r="A4" s="158"/>
      <c r="B4" s="158"/>
      <c r="C4" s="158"/>
      <c r="D4" s="158"/>
    </row>
  </sheetData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2" t="s">
        <v>6586</v>
      </c>
      <c r="B2" s="174" t="s">
        <v>6108</v>
      </c>
      <c r="C2" s="174" t="s">
        <v>6108</v>
      </c>
      <c r="D2" s="174" t="s">
        <v>6108</v>
      </c>
    </row>
    <row r="3">
      <c r="A3" s="181" t="s">
        <v>7058</v>
      </c>
      <c r="B3" s="169" t="s">
        <v>6107</v>
      </c>
      <c r="C3" s="169" t="s">
        <v>6107</v>
      </c>
      <c r="D3" s="169" t="s">
        <v>6107</v>
      </c>
    </row>
    <row r="4">
      <c r="A4" s="173" t="s">
        <v>7059</v>
      </c>
      <c r="B4" s="173" t="s">
        <v>6107</v>
      </c>
      <c r="C4" s="170" t="s">
        <v>6111</v>
      </c>
      <c r="D4" s="170" t="s">
        <v>6111</v>
      </c>
    </row>
    <row r="5">
      <c r="A5" s="158" t="s">
        <v>7060</v>
      </c>
      <c r="B5" s="158" t="s">
        <v>6111</v>
      </c>
      <c r="C5" s="158" t="s">
        <v>6114</v>
      </c>
      <c r="D5" s="158" t="s">
        <v>6114</v>
      </c>
    </row>
    <row r="6">
      <c r="A6" s="158"/>
      <c r="B6" s="158"/>
      <c r="C6" s="158"/>
      <c r="D6" s="158"/>
    </row>
    <row r="7">
      <c r="A7" s="158"/>
      <c r="B7" s="158"/>
      <c r="C7" s="158"/>
      <c r="D7" s="158"/>
    </row>
  </sheetData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7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2" t="s">
        <v>6599</v>
      </c>
      <c r="B2" s="174" t="s">
        <v>6108</v>
      </c>
      <c r="C2" s="174" t="s">
        <v>6107</v>
      </c>
      <c r="D2" s="174" t="s">
        <v>6107</v>
      </c>
    </row>
    <row r="3">
      <c r="A3" s="181" t="s">
        <v>7061</v>
      </c>
      <c r="B3" s="169" t="s">
        <v>6107</v>
      </c>
      <c r="C3" s="169" t="s">
        <v>6111</v>
      </c>
      <c r="D3" s="169" t="s">
        <v>6111</v>
      </c>
    </row>
    <row r="4">
      <c r="A4" s="173" t="s">
        <v>7062</v>
      </c>
      <c r="B4" s="173" t="s">
        <v>6111</v>
      </c>
      <c r="C4" s="170" t="s">
        <v>6114</v>
      </c>
      <c r="D4" s="170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5.0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6599</v>
      </c>
      <c r="B2" s="169" t="s">
        <v>6108</v>
      </c>
      <c r="C2" s="169" t="s">
        <v>6107</v>
      </c>
      <c r="D2" s="169" t="s">
        <v>6107</v>
      </c>
    </row>
    <row r="3">
      <c r="A3" s="173" t="s">
        <v>7063</v>
      </c>
      <c r="B3" s="173" t="s">
        <v>6162</v>
      </c>
      <c r="C3" s="170" t="s">
        <v>6111</v>
      </c>
      <c r="D3" s="170" t="s">
        <v>6111</v>
      </c>
    </row>
    <row r="4">
      <c r="A4" s="158" t="s">
        <v>7064</v>
      </c>
      <c r="B4" s="158" t="s">
        <v>6107</v>
      </c>
      <c r="C4" s="158" t="s">
        <v>6114</v>
      </c>
      <c r="D4" s="158" t="s">
        <v>6114</v>
      </c>
    </row>
    <row r="5">
      <c r="A5" s="158" t="s">
        <v>7065</v>
      </c>
      <c r="B5" s="158" t="s">
        <v>6162</v>
      </c>
      <c r="C5" s="158" t="s">
        <v>6129</v>
      </c>
      <c r="D5" s="158" t="s">
        <v>6129</v>
      </c>
    </row>
    <row r="6">
      <c r="A6" s="158" t="s">
        <v>7066</v>
      </c>
      <c r="B6" s="158" t="s">
        <v>6107</v>
      </c>
      <c r="C6" s="158" t="s">
        <v>6171</v>
      </c>
      <c r="D6" s="158" t="s">
        <v>6171</v>
      </c>
    </row>
    <row r="7">
      <c r="A7" s="158" t="s">
        <v>7067</v>
      </c>
      <c r="B7" s="158" t="s">
        <v>6107</v>
      </c>
      <c r="C7" s="158" t="s">
        <v>6173</v>
      </c>
      <c r="D7" s="158" t="s">
        <v>6173</v>
      </c>
    </row>
    <row r="8">
      <c r="A8" s="158"/>
      <c r="B8" s="158"/>
      <c r="C8" s="158"/>
      <c r="D8" s="158"/>
    </row>
  </sheetData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2.25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6599</v>
      </c>
      <c r="B2" s="169" t="s">
        <v>6108</v>
      </c>
      <c r="C2" s="169" t="s">
        <v>6107</v>
      </c>
      <c r="D2" s="169" t="s">
        <v>6107</v>
      </c>
    </row>
    <row r="3">
      <c r="A3" s="173" t="s">
        <v>7068</v>
      </c>
      <c r="B3" s="173" t="s">
        <v>6162</v>
      </c>
      <c r="C3" s="170" t="s">
        <v>6111</v>
      </c>
      <c r="D3" s="170" t="s">
        <v>6111</v>
      </c>
    </row>
    <row r="4">
      <c r="A4" s="158" t="s">
        <v>7069</v>
      </c>
      <c r="B4" s="158" t="s">
        <v>6107</v>
      </c>
      <c r="C4" s="158" t="s">
        <v>6114</v>
      </c>
      <c r="D4" s="158" t="s">
        <v>6114</v>
      </c>
    </row>
    <row r="5">
      <c r="A5" s="158" t="s">
        <v>7070</v>
      </c>
      <c r="B5" s="158" t="s">
        <v>6111</v>
      </c>
      <c r="C5" s="158" t="s">
        <v>6129</v>
      </c>
      <c r="D5" s="158" t="s">
        <v>6129</v>
      </c>
    </row>
    <row r="6">
      <c r="A6" s="158" t="s">
        <v>7071</v>
      </c>
      <c r="B6" s="158" t="s">
        <v>6114</v>
      </c>
      <c r="C6" s="158" t="s">
        <v>6171</v>
      </c>
      <c r="D6" s="158" t="s">
        <v>6171</v>
      </c>
    </row>
    <row r="7">
      <c r="A7" s="158" t="s">
        <v>7072</v>
      </c>
      <c r="B7" s="158" t="s">
        <v>6129</v>
      </c>
      <c r="C7" s="158" t="s">
        <v>6173</v>
      </c>
      <c r="D7" s="158" t="s">
        <v>6173</v>
      </c>
    </row>
    <row r="8">
      <c r="A8" s="158" t="s">
        <v>7073</v>
      </c>
      <c r="B8" s="158" t="s">
        <v>6171</v>
      </c>
      <c r="C8" s="158" t="s">
        <v>6175</v>
      </c>
      <c r="D8" s="158" t="s">
        <v>6175</v>
      </c>
    </row>
    <row r="9">
      <c r="A9" s="158"/>
      <c r="B9" s="158"/>
      <c r="C9" s="158"/>
      <c r="D9" s="158"/>
    </row>
    <row r="10">
      <c r="A10" s="158"/>
      <c r="B10" s="158"/>
      <c r="C10" s="158"/>
      <c r="D10" s="158"/>
    </row>
  </sheetData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2" max="3" width="3.75"/>
    <col customWidth="1" min="4" max="4" width="9.38"/>
  </cols>
  <sheetData>
    <row r="1">
      <c r="A1" s="158" t="s">
        <v>6103</v>
      </c>
      <c r="B1" s="158" t="s">
        <v>6104</v>
      </c>
      <c r="C1" s="158" t="s">
        <v>8</v>
      </c>
      <c r="D1" s="158" t="s">
        <v>9</v>
      </c>
    </row>
    <row r="2">
      <c r="A2" s="181" t="s">
        <v>6586</v>
      </c>
      <c r="B2" s="169" t="s">
        <v>6108</v>
      </c>
      <c r="C2" s="169" t="s">
        <v>6107</v>
      </c>
      <c r="D2" s="169" t="s">
        <v>6107</v>
      </c>
    </row>
    <row r="3">
      <c r="A3" s="173" t="s">
        <v>7074</v>
      </c>
      <c r="B3" s="173" t="s">
        <v>6107</v>
      </c>
      <c r="C3" s="170" t="s">
        <v>6111</v>
      </c>
      <c r="D3" s="170" t="s">
        <v>6111</v>
      </c>
    </row>
    <row r="4">
      <c r="A4" s="158" t="s">
        <v>7075</v>
      </c>
      <c r="B4" s="158" t="s">
        <v>6107</v>
      </c>
      <c r="C4" s="158" t="s">
        <v>6114</v>
      </c>
      <c r="D4" s="158" t="s">
        <v>6114</v>
      </c>
    </row>
    <row r="5">
      <c r="A5" s="158"/>
      <c r="B5" s="158"/>
      <c r="C5" s="158"/>
      <c r="D5" s="158"/>
    </row>
    <row r="6">
      <c r="A6" s="158"/>
      <c r="B6" s="158"/>
      <c r="C6" s="158"/>
      <c r="D6" s="158"/>
    </row>
  </sheetData>
  <drawing r:id="rId1"/>
</worksheet>
</file>