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ion3\!Public\Accounting\Monthly Accruals\12_19\"/>
    </mc:Choice>
  </mc:AlternateContent>
  <bookViews>
    <workbookView xWindow="0" yWindow="0" windowWidth="30720" windowHeight="13380"/>
  </bookViews>
  <sheets>
    <sheet name="Utility Analysis 2019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" i="2" l="1"/>
  <c r="O67" i="2"/>
  <c r="N67" i="2"/>
  <c r="K67" i="2"/>
  <c r="H67" i="2"/>
  <c r="B67" i="2"/>
  <c r="Q66" i="2"/>
  <c r="O66" i="2"/>
  <c r="N66" i="2"/>
  <c r="K66" i="2"/>
  <c r="H66" i="2"/>
  <c r="B66" i="2"/>
  <c r="Q65" i="2"/>
  <c r="O65" i="2"/>
  <c r="N65" i="2"/>
  <c r="K65" i="2"/>
  <c r="J65" i="2"/>
  <c r="H65" i="2"/>
  <c r="B65" i="2"/>
  <c r="Q64" i="2"/>
  <c r="P64" i="2"/>
  <c r="O64" i="2"/>
  <c r="N64" i="2"/>
  <c r="K64" i="2"/>
  <c r="J64" i="2"/>
  <c r="H64" i="2"/>
  <c r="B64" i="2"/>
  <c r="Q56" i="2"/>
  <c r="O56" i="2"/>
  <c r="N56" i="2"/>
  <c r="K56" i="2"/>
  <c r="H56" i="2"/>
  <c r="B56" i="2"/>
  <c r="P53" i="2"/>
  <c r="J53" i="2"/>
  <c r="I53" i="2"/>
  <c r="C53" i="2"/>
  <c r="P52" i="2"/>
  <c r="C52" i="2"/>
  <c r="P51" i="2"/>
  <c r="P67" i="2" s="1"/>
  <c r="C51" i="2"/>
  <c r="C67" i="2" s="1"/>
  <c r="P50" i="2"/>
  <c r="J50" i="2"/>
  <c r="I50" i="2" s="1"/>
  <c r="C50" i="2"/>
  <c r="P49" i="2"/>
  <c r="C49" i="2"/>
  <c r="P48" i="2"/>
  <c r="P66" i="2" s="1"/>
  <c r="J48" i="2"/>
  <c r="I48" i="2" s="1"/>
  <c r="C48" i="2"/>
  <c r="C66" i="2" s="1"/>
  <c r="P47" i="2"/>
  <c r="I47" i="2"/>
  <c r="C47" i="2"/>
  <c r="P46" i="2"/>
  <c r="P65" i="2" s="1"/>
  <c r="I46" i="2"/>
  <c r="C46" i="2"/>
  <c r="C65" i="2" s="1"/>
  <c r="P45" i="2"/>
  <c r="I45" i="2"/>
  <c r="I65" i="2" s="1"/>
  <c r="C45" i="2"/>
  <c r="P44" i="2"/>
  <c r="I44" i="2"/>
  <c r="C44" i="2"/>
  <c r="P43" i="2"/>
  <c r="I43" i="2"/>
  <c r="I64" i="2" s="1"/>
  <c r="C43" i="2"/>
  <c r="P42" i="2"/>
  <c r="P56" i="2" s="1"/>
  <c r="I42" i="2"/>
  <c r="C42" i="2"/>
  <c r="C56" i="2" s="1"/>
  <c r="O38" i="2"/>
  <c r="N38" i="2"/>
  <c r="C38" i="2"/>
  <c r="B38" i="2"/>
  <c r="P37" i="2"/>
  <c r="I37" i="2"/>
  <c r="J37" i="2" s="1"/>
  <c r="D37" i="2"/>
  <c r="O36" i="2"/>
  <c r="P36" i="2" s="1"/>
  <c r="H36" i="2"/>
  <c r="I36" i="2" s="1"/>
  <c r="D36" i="2"/>
  <c r="P35" i="2"/>
  <c r="O35" i="2"/>
  <c r="H35" i="2"/>
  <c r="D35" i="2"/>
  <c r="P34" i="2"/>
  <c r="I34" i="2"/>
  <c r="J34" i="2" s="1"/>
  <c r="D34" i="2"/>
  <c r="O33" i="2"/>
  <c r="P33" i="2" s="1"/>
  <c r="H33" i="2"/>
  <c r="D33" i="2"/>
  <c r="P32" i="2"/>
  <c r="O32" i="2"/>
  <c r="H32" i="2"/>
  <c r="H38" i="2" s="1"/>
  <c r="D32" i="2"/>
  <c r="P31" i="2"/>
  <c r="O31" i="2"/>
  <c r="J31" i="2"/>
  <c r="D31" i="2"/>
  <c r="O30" i="2"/>
  <c r="P30" i="2" s="1"/>
  <c r="J30" i="2"/>
  <c r="D30" i="2"/>
  <c r="P29" i="2"/>
  <c r="O29" i="2"/>
  <c r="J29" i="2"/>
  <c r="D29" i="2"/>
  <c r="O28" i="2"/>
  <c r="P28" i="2" s="1"/>
  <c r="J28" i="2"/>
  <c r="D28" i="2"/>
  <c r="P27" i="2"/>
  <c r="O27" i="2"/>
  <c r="J27" i="2"/>
  <c r="D27" i="2"/>
  <c r="O26" i="2"/>
  <c r="P26" i="2" s="1"/>
  <c r="J26" i="2"/>
  <c r="D26" i="2"/>
  <c r="D38" i="2" s="1"/>
  <c r="M25" i="2"/>
  <c r="G25" i="2"/>
  <c r="A25" i="2"/>
  <c r="J18" i="2"/>
  <c r="I18" i="2"/>
  <c r="H18" i="2"/>
  <c r="P38" i="2" l="1"/>
  <c r="J33" i="2"/>
  <c r="J52" i="2"/>
  <c r="I52" i="2" s="1"/>
  <c r="J66" i="2"/>
  <c r="C64" i="2"/>
  <c r="I33" i="2"/>
  <c r="J36" i="2"/>
  <c r="J49" i="2"/>
  <c r="I32" i="2"/>
  <c r="I35" i="2"/>
  <c r="J35" i="2" s="1"/>
  <c r="J51" i="2"/>
  <c r="J32" i="2"/>
  <c r="J38" i="2" s="1"/>
  <c r="J67" i="2" l="1"/>
  <c r="I51" i="2"/>
  <c r="I67" i="2" s="1"/>
  <c r="I38" i="2"/>
  <c r="I49" i="2"/>
  <c r="J56" i="2"/>
  <c r="I66" i="2" l="1"/>
  <c r="I56" i="2"/>
</calcChain>
</file>

<file path=xl/sharedStrings.xml><?xml version="1.0" encoding="utf-8"?>
<sst xmlns="http://schemas.openxmlformats.org/spreadsheetml/2006/main" count="175" uniqueCount="71">
  <si>
    <t>Lion Oil Utilities Analysis</t>
  </si>
  <si>
    <t>YTD 2019</t>
  </si>
  <si>
    <t xml:space="preserve">ACTUAL GENERAL LEDGER BALANCE </t>
  </si>
  <si>
    <t>Entergy</t>
  </si>
  <si>
    <t>Centerpoint</t>
  </si>
  <si>
    <t>Union County Water</t>
  </si>
  <si>
    <t>Vendor #</t>
  </si>
  <si>
    <t>G/L</t>
  </si>
  <si>
    <t>January</t>
  </si>
  <si>
    <t xml:space="preserve">Cost Center </t>
  </si>
  <si>
    <t>February</t>
  </si>
  <si>
    <t>Funtional Area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</si>
  <si>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</si>
  <si>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</si>
  <si>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</si>
  <si>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</si>
  <si>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</si>
  <si>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</si>
  <si>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</si>
  <si>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</si>
  <si>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</si>
  <si>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</si>
  <si>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</si>
  <si>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ACTUAL INVOICES VS ACCRUAL ("BIG" Invoice)</t>
  </si>
  <si>
    <t>Actual</t>
  </si>
  <si>
    <t>Accrual</t>
  </si>
  <si>
    <t>Variance</t>
  </si>
  <si>
    <t xml:space="preserve">Invoice </t>
  </si>
  <si>
    <t>Accrual/Booked</t>
  </si>
  <si>
    <t>Number</t>
  </si>
  <si>
    <t>2019-2</t>
  </si>
  <si>
    <t>2019-6</t>
  </si>
  <si>
    <t>2019-10</t>
  </si>
  <si>
    <t>2019-14</t>
  </si>
  <si>
    <t>2019-18</t>
  </si>
  <si>
    <t>Traded</t>
  </si>
  <si>
    <t>2019-23</t>
  </si>
  <si>
    <t>2019-29</t>
  </si>
  <si>
    <t>2019333666A</t>
  </si>
  <si>
    <t>2019-35</t>
  </si>
  <si>
    <t>***Do we need to continue to accrue for this?</t>
  </si>
  <si>
    <t>2019-43</t>
  </si>
  <si>
    <t>2019-50</t>
  </si>
  <si>
    <t>2019-56</t>
  </si>
  <si>
    <t>2019-61</t>
  </si>
  <si>
    <t>Billed Usage 
in kWh</t>
  </si>
  <si>
    <t>$/Kw</t>
  </si>
  <si>
    <t>Billed Usage in 
MMBtu</t>
  </si>
  <si>
    <t>Price</t>
  </si>
  <si>
    <t>Usage Price</t>
  </si>
  <si>
    <t>Other Charges</t>
  </si>
  <si>
    <t>Billed Usage in Gal</t>
  </si>
  <si>
    <t>Jan</t>
  </si>
  <si>
    <t>Feb</t>
  </si>
  <si>
    <t>Mar</t>
  </si>
  <si>
    <t>TA</t>
  </si>
  <si>
    <t>Apr</t>
  </si>
  <si>
    <t>May</t>
  </si>
  <si>
    <t>Jun</t>
  </si>
  <si>
    <t>Jul</t>
  </si>
  <si>
    <t>Aug</t>
  </si>
  <si>
    <t xml:space="preserve">Sept </t>
  </si>
  <si>
    <t>Oct</t>
  </si>
  <si>
    <t>Nov</t>
  </si>
  <si>
    <t>Dec</t>
  </si>
  <si>
    <t>YTD Avg</t>
  </si>
  <si>
    <t>Q1 Avg</t>
  </si>
  <si>
    <t>Q2 Avg</t>
  </si>
  <si>
    <t>Q3 Avg</t>
  </si>
  <si>
    <t>Q4 Avg</t>
  </si>
  <si>
    <t>These volumes were estimated basesd on an email from Centerpoint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</si>
</sst>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"/>
    <numFmt numFmtId="167" formatCode="_(* #,##0.000_);_(* \(#,##0.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Font="1"/>
    <xf numFmtId="0" fontId="2" fillId="0" borderId="0" xfId="1"/>
    <xf numFmtId="0" fontId="3" fillId="0" borderId="0" xfId="1" applyFont="1"/>
    <xf numFmtId="0" fontId="2" fillId="0" borderId="0" xfId="2"/>
    <xf numFmtId="0" fontId="4" fillId="0" borderId="0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2" fillId="0" borderId="0" xfId="1" applyBorder="1"/>
    <xf numFmtId="0" fontId="2" fillId="0" borderId="4" xfId="1" applyBorder="1"/>
    <xf numFmtId="0" fontId="2" fillId="0" borderId="5" xfId="1" applyBorder="1"/>
    <xf numFmtId="0" fontId="5" fillId="0" borderId="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2" fillId="0" borderId="0" xfId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4" fontId="2" fillId="0" borderId="0" xfId="1" applyNumberFormat="1" applyBorder="1"/>
    <xf numFmtId="0" fontId="2" fillId="0" borderId="4" xfId="1" applyFont="1" applyBorder="1"/>
    <xf numFmtId="43" fontId="0" fillId="0" borderId="0" xfId="3" applyFont="1" applyBorder="1"/>
    <xf numFmtId="43" fontId="0" fillId="0" borderId="5" xfId="3" applyFont="1" applyBorder="1"/>
    <xf numFmtId="43" fontId="0" fillId="0" borderId="0" xfId="3" applyFont="1" applyFill="1" applyBorder="1"/>
    <xf numFmtId="43" fontId="2" fillId="0" borderId="5" xfId="3" applyFont="1" applyBorder="1"/>
    <xf numFmtId="43" fontId="0" fillId="0" borderId="5" xfId="3" applyFont="1" applyFill="1" applyBorder="1"/>
    <xf numFmtId="0" fontId="2" fillId="0" borderId="4" xfId="1" applyFont="1" applyBorder="1" applyAlignment="1">
      <alignment horizontal="right"/>
    </xf>
    <xf numFmtId="4" fontId="2" fillId="0" borderId="6" xfId="1" applyNumberFormat="1" applyBorder="1"/>
    <xf numFmtId="4" fontId="2" fillId="0" borderId="7" xfId="1" applyNumberFormat="1" applyBorder="1"/>
    <xf numFmtId="0" fontId="2" fillId="0" borderId="8" xfId="1" applyBorder="1"/>
    <xf numFmtId="0" fontId="2" fillId="0" borderId="9" xfId="1" applyBorder="1"/>
    <xf numFmtId="0" fontId="2" fillId="0" borderId="10" xfId="1" applyBorder="1"/>
    <xf numFmtId="43" fontId="2" fillId="0" borderId="0" xfId="1" applyNumberFormat="1"/>
    <xf numFmtId="0" fontId="2" fillId="2" borderId="0" xfId="1" applyFill="1" applyBorder="1"/>
    <xf numFmtId="0" fontId="3" fillId="0" borderId="5" xfId="1" applyFont="1" applyBorder="1"/>
    <xf numFmtId="0" fontId="3" fillId="0" borderId="4" xfId="1" applyFont="1" applyBorder="1"/>
    <xf numFmtId="0" fontId="6" fillId="0" borderId="0" xfId="1" applyFont="1" applyBorder="1" applyAlignment="1">
      <alignment horizontal="center"/>
    </xf>
    <xf numFmtId="0" fontId="3" fillId="2" borderId="0" xfId="1" applyFont="1" applyFill="1" applyBorder="1"/>
    <xf numFmtId="0" fontId="6" fillId="0" borderId="5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43" fontId="1" fillId="0" borderId="0" xfId="3" applyFont="1" applyBorder="1"/>
    <xf numFmtId="0" fontId="8" fillId="0" borderId="0" xfId="4" applyFont="1" applyBorder="1"/>
    <xf numFmtId="43" fontId="0" fillId="2" borderId="0" xfId="3" applyFont="1" applyFill="1" applyBorder="1"/>
    <xf numFmtId="43" fontId="2" fillId="0" borderId="0" xfId="5" applyFont="1" applyBorder="1"/>
    <xf numFmtId="0" fontId="8" fillId="0" borderId="0" xfId="4" applyFont="1"/>
    <xf numFmtId="0" fontId="8" fillId="0" borderId="5" xfId="4" applyFont="1" applyBorder="1"/>
    <xf numFmtId="43" fontId="2" fillId="0" borderId="0" xfId="5" applyFont="1" applyFill="1" applyBorder="1"/>
    <xf numFmtId="43" fontId="1" fillId="0" borderId="0" xfId="3" applyFont="1" applyFill="1" applyBorder="1"/>
    <xf numFmtId="0" fontId="8" fillId="0" borderId="0" xfId="4" applyFont="1" applyFill="1"/>
    <xf numFmtId="43" fontId="9" fillId="0" borderId="0" xfId="3" applyFont="1" applyFill="1" applyBorder="1"/>
    <xf numFmtId="43" fontId="2" fillId="0" borderId="0" xfId="3" applyFont="1" applyFill="1" applyBorder="1"/>
    <xf numFmtId="0" fontId="10" fillId="0" borderId="0" xfId="4" applyFont="1" applyFill="1"/>
    <xf numFmtId="43" fontId="3" fillId="0" borderId="5" xfId="3" applyFont="1" applyBorder="1"/>
    <xf numFmtId="43" fontId="0" fillId="0" borderId="6" xfId="3" applyFont="1" applyBorder="1"/>
    <xf numFmtId="43" fontId="0" fillId="0" borderId="7" xfId="3" applyFont="1" applyBorder="1"/>
    <xf numFmtId="43" fontId="3" fillId="0" borderId="0" xfId="3" applyFont="1" applyBorder="1"/>
    <xf numFmtId="43" fontId="2" fillId="0" borderId="0" xfId="3" applyFont="1" applyBorder="1" applyAlignment="1">
      <alignment horizontal="right"/>
    </xf>
    <xf numFmtId="0" fontId="3" fillId="0" borderId="9" xfId="1" applyFont="1" applyBorder="1"/>
    <xf numFmtId="0" fontId="2" fillId="2" borderId="9" xfId="1" applyFill="1" applyBorder="1"/>
    <xf numFmtId="0" fontId="3" fillId="0" borderId="10" xfId="1" applyFont="1" applyBorder="1"/>
    <xf numFmtId="0" fontId="4" fillId="0" borderId="0" xfId="1" applyFont="1" applyAlignment="1">
      <alignment horizontal="center" wrapText="1"/>
    </xf>
    <xf numFmtId="0" fontId="4" fillId="0" borderId="0" xfId="1" applyFont="1"/>
    <xf numFmtId="43" fontId="4" fillId="2" borderId="0" xfId="3" applyFont="1" applyFill="1" applyBorder="1"/>
    <xf numFmtId="0" fontId="4" fillId="0" borderId="0" xfId="1" applyFont="1" applyAlignment="1">
      <alignment horizontal="center"/>
    </xf>
    <xf numFmtId="164" fontId="4" fillId="0" borderId="0" xfId="3" applyNumberFormat="1" applyFont="1"/>
    <xf numFmtId="43" fontId="4" fillId="0" borderId="0" xfId="3" applyFont="1"/>
    <xf numFmtId="37" fontId="2" fillId="0" borderId="0" xfId="1" applyNumberFormat="1" applyFont="1"/>
    <xf numFmtId="165" fontId="2" fillId="0" borderId="0" xfId="5" applyNumberFormat="1" applyFont="1"/>
    <xf numFmtId="43" fontId="2" fillId="2" borderId="0" xfId="3" applyFont="1" applyFill="1" applyBorder="1"/>
    <xf numFmtId="37" fontId="2" fillId="0" borderId="0" xfId="2" applyNumberFormat="1" applyFont="1"/>
    <xf numFmtId="166" fontId="2" fillId="0" borderId="0" xfId="2" applyNumberFormat="1" applyFont="1"/>
    <xf numFmtId="43" fontId="2" fillId="0" borderId="0" xfId="3" applyFont="1"/>
    <xf numFmtId="167" fontId="2" fillId="0" borderId="0" xfId="3" applyNumberFormat="1" applyFont="1"/>
    <xf numFmtId="43" fontId="2" fillId="0" borderId="0" xfId="3" applyFont="1" applyFill="1"/>
    <xf numFmtId="37" fontId="2" fillId="0" borderId="0" xfId="2" applyNumberFormat="1" applyFont="1" applyFill="1"/>
    <xf numFmtId="167" fontId="2" fillId="0" borderId="0" xfId="3" applyNumberFormat="1" applyFont="1" applyFill="1"/>
    <xf numFmtId="43" fontId="0" fillId="0" borderId="0" xfId="3" applyFont="1"/>
    <xf numFmtId="43" fontId="3" fillId="0" borderId="0" xfId="3" applyFont="1"/>
    <xf numFmtId="0" fontId="2" fillId="0" borderId="11" xfId="1" applyFont="1" applyBorder="1" applyAlignment="1">
      <alignment horizontal="right"/>
    </xf>
    <xf numFmtId="37" fontId="11" fillId="0" borderId="11" xfId="1" applyNumberFormat="1" applyFont="1" applyBorder="1"/>
    <xf numFmtId="165" fontId="0" fillId="0" borderId="11" xfId="3" applyNumberFormat="1" applyFont="1" applyBorder="1"/>
    <xf numFmtId="43" fontId="0" fillId="0" borderId="11" xfId="3" applyFont="1" applyBorder="1"/>
    <xf numFmtId="0" fontId="2" fillId="0" borderId="0" xfId="2" applyFill="1"/>
    <xf numFmtId="37" fontId="11" fillId="0" borderId="0" xfId="2" applyNumberFormat="1" applyFont="1"/>
    <xf numFmtId="0" fontId="2" fillId="0" borderId="0" xfId="2" applyFont="1"/>
    <xf numFmtId="164" fontId="0" fillId="0" borderId="0" xfId="3" applyNumberFormat="1" applyFont="1"/>
    <xf numFmtId="37" fontId="2" fillId="3" borderId="0" xfId="2" applyNumberFormat="1" applyFont="1" applyFill="1"/>
    <xf numFmtId="0" fontId="2" fillId="3" borderId="0" xfId="1" applyFill="1"/>
  </cellXfs>
  <cellStyles count="6">
    <cellStyle name="Comma 12 2 3" xfId="3"/>
    <cellStyle name="Comma 16" xfId="5"/>
    <cellStyle name="Normal" xfId="0" builtinId="0"/>
    <cellStyle name="Normal 10 10" xfId="4"/>
    <cellStyle name="Normal 15 3 2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19" zoomScaleNormal="100" workbookViewId="0">
      <selection activeCell="S52" sqref="S52"/>
    </sheetView>
  </sheetViews>
  <sheetFormatPr defaultColWidth="9.140625" defaultRowHeight="15" x14ac:dyDescent="0.25"/>
  <cols>
    <col min="1" max="1" width="14.28515625" style="4" customWidth="1"/>
    <col min="2" max="2" width="14.5703125" style="4" bestFit="1" customWidth="1"/>
    <col min="3" max="3" width="14" style="4" bestFit="1" customWidth="1"/>
    <col min="4" max="4" width="19.42578125" style="4" bestFit="1" customWidth="1"/>
    <col min="5" max="5" width="9.5703125" style="4" bestFit="1" customWidth="1"/>
    <col min="6" max="6" width="3" style="4" customWidth="1"/>
    <col min="7" max="7" width="11.140625" style="4" bestFit="1" customWidth="1"/>
    <col min="8" max="8" width="16.140625" style="4" bestFit="1" customWidth="1"/>
    <col min="9" max="9" width="14" style="4" bestFit="1" customWidth="1"/>
    <col min="10" max="10" width="19.42578125" style="86" bestFit="1" customWidth="1"/>
    <col min="11" max="11" width="13.42578125" style="4" bestFit="1" customWidth="1"/>
    <col min="12" max="12" width="3.140625" style="4" customWidth="1"/>
    <col min="13" max="13" width="11.140625" style="4" bestFit="1" customWidth="1"/>
    <col min="14" max="16" width="19.42578125" style="4" bestFit="1" customWidth="1"/>
    <col min="17" max="17" width="14.28515625" style="4" bestFit="1" customWidth="1"/>
    <col min="18" max="16384" width="9.140625" style="4"/>
  </cols>
  <sheetData>
    <row r="1" spans="1:17" ht="12.7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12.75" x14ac:dyDescent="0.2">
      <c r="A2" s="1" t="s">
        <v>1</v>
      </c>
      <c r="B2" s="2"/>
      <c r="C2" s="2"/>
      <c r="D2" s="2"/>
      <c r="E2" s="5"/>
      <c r="F2" s="2"/>
      <c r="G2" s="6" t="s">
        <v>2</v>
      </c>
      <c r="H2" s="7"/>
      <c r="I2" s="7"/>
      <c r="J2" s="8"/>
      <c r="K2" s="2"/>
      <c r="L2" s="2"/>
      <c r="M2" s="2"/>
      <c r="N2" s="2"/>
      <c r="O2" s="2"/>
      <c r="P2" s="2"/>
      <c r="Q2" s="3"/>
    </row>
    <row r="3" spans="1:17" ht="12.75" x14ac:dyDescent="0.2">
      <c r="A3" s="2"/>
      <c r="B3" s="2"/>
      <c r="C3" s="2"/>
      <c r="D3" s="2"/>
      <c r="E3" s="9"/>
      <c r="F3" s="2"/>
      <c r="G3" s="10"/>
      <c r="H3" s="9"/>
      <c r="I3" s="9"/>
      <c r="J3" s="11"/>
      <c r="K3" s="2"/>
      <c r="L3" s="2"/>
      <c r="M3" s="2"/>
      <c r="N3" s="2"/>
      <c r="O3" s="2"/>
      <c r="P3" s="2"/>
      <c r="Q3" s="3"/>
    </row>
    <row r="4" spans="1:17" ht="12.75" x14ac:dyDescent="0.2">
      <c r="A4" s="2"/>
      <c r="B4" s="12" t="s">
        <v>3</v>
      </c>
      <c r="C4" s="12" t="s">
        <v>4</v>
      </c>
      <c r="D4" s="12" t="s">
        <v>5</v>
      </c>
      <c r="E4" s="5"/>
      <c r="F4" s="2"/>
      <c r="G4" s="10"/>
      <c r="H4" s="5">
        <v>600101</v>
      </c>
      <c r="I4" s="5">
        <v>600102</v>
      </c>
      <c r="J4" s="13">
        <v>600103</v>
      </c>
      <c r="K4" s="2"/>
      <c r="L4" s="2"/>
      <c r="M4" s="2"/>
      <c r="N4" s="2"/>
      <c r="O4" s="2"/>
      <c r="P4" s="2"/>
      <c r="Q4" s="3"/>
    </row>
    <row r="5" spans="1:17" ht="12.75" x14ac:dyDescent="0.2">
      <c r="A5" s="14" t="s">
        <v>6</v>
      </c>
      <c r="B5" s="15">
        <v>109560</v>
      </c>
      <c r="C5" s="15">
        <v>121347</v>
      </c>
      <c r="D5" s="15">
        <v>116486</v>
      </c>
      <c r="E5" s="12"/>
      <c r="F5" s="2"/>
      <c r="G5" s="16">
        <v>2019</v>
      </c>
      <c r="H5" s="12" t="s">
        <v>3</v>
      </c>
      <c r="I5" s="12" t="s">
        <v>4</v>
      </c>
      <c r="J5" s="17" t="s">
        <v>5</v>
      </c>
      <c r="K5" s="2"/>
      <c r="L5" s="2"/>
      <c r="M5" s="2"/>
      <c r="N5" s="2"/>
      <c r="O5" s="2"/>
      <c r="P5" s="2"/>
      <c r="Q5" s="3"/>
    </row>
    <row r="6" spans="1:17" x14ac:dyDescent="0.25">
      <c r="A6" s="14" t="s">
        <v>7</v>
      </c>
      <c r="B6" s="15">
        <v>600101</v>
      </c>
      <c r="C6" s="15">
        <v>600102</v>
      </c>
      <c r="D6" s="15">
        <v>600103</v>
      </c>
      <c r="E6" s="18"/>
      <c r="F6" s="2"/>
      <c r="G6" s="19" t="s">
        <v>8</v>
      </c>
      <c r="H6" s="20">
        <v>1149916.18</v>
      </c>
      <c r="I6" s="20">
        <v>1265056.3600000001</v>
      </c>
      <c r="J6" s="21">
        <v>46103.9</v>
      </c>
      <c r="K6" s="2"/>
      <c r="L6" s="2"/>
      <c r="M6" s="2"/>
      <c r="N6" s="2"/>
      <c r="O6" s="2"/>
      <c r="P6" s="2"/>
      <c r="Q6" s="3"/>
    </row>
    <row r="7" spans="1:17" x14ac:dyDescent="0.25">
      <c r="A7" s="14" t="s">
        <v>9</v>
      </c>
      <c r="B7" s="15">
        <v>16461</v>
      </c>
      <c r="C7" s="15">
        <v>16486</v>
      </c>
      <c r="D7" s="15">
        <v>16472</v>
      </c>
      <c r="E7" s="18"/>
      <c r="F7" s="2"/>
      <c r="G7" s="19" t="s">
        <v>10</v>
      </c>
      <c r="H7" s="20">
        <v>1153543.24</v>
      </c>
      <c r="I7" s="20">
        <v>823330.7</v>
      </c>
      <c r="J7" s="21">
        <v>56886.8</v>
      </c>
      <c r="K7" s="2"/>
      <c r="L7" s="2"/>
      <c r="M7" s="2"/>
      <c r="N7" s="2"/>
      <c r="O7" s="2"/>
      <c r="P7" s="2"/>
      <c r="Q7" s="3"/>
    </row>
    <row r="8" spans="1:17" x14ac:dyDescent="0.25">
      <c r="A8" s="14" t="s">
        <v>11</v>
      </c>
      <c r="B8" s="15">
        <v>2125</v>
      </c>
      <c r="C8" s="15">
        <v>2125</v>
      </c>
      <c r="D8" s="15">
        <v>2125</v>
      </c>
      <c r="E8" s="18"/>
      <c r="F8" s="2"/>
      <c r="G8" s="19" t="s">
        <v>12</v>
      </c>
      <c r="H8" s="20">
        <v>792743.16</v>
      </c>
      <c r="I8" s="20">
        <v>832363.55</v>
      </c>
      <c r="J8" s="21">
        <v>69377.53</v>
      </c>
      <c r="K8" s="2"/>
      <c r="L8" s="2"/>
      <c r="M8" s="2"/>
      <c r="N8" s="2"/>
      <c r="O8" s="2"/>
      <c r="P8" s="2"/>
      <c r="Q8" s="3"/>
    </row>
    <row r="9" spans="1:17" x14ac:dyDescent="0.25">
      <c r="A9" s="14"/>
      <c r="B9" s="15"/>
      <c r="C9" s="15"/>
      <c r="D9" s="15"/>
      <c r="E9" s="18"/>
      <c r="F9" s="2"/>
      <c r="G9" s="19" t="s">
        <v>13</v>
      </c>
      <c r="H9" s="20">
        <v>691808.54</v>
      </c>
      <c r="I9" s="20">
        <v>562731.46</v>
      </c>
      <c r="J9" s="21">
        <v>26815.77</v>
      </c>
      <c r="K9" s="2"/>
      <c r="L9" s="2"/>
      <c r="M9" s="2"/>
      <c r="N9" s="2"/>
      <c r="O9" s="2"/>
      <c r="P9" s="2"/>
      <c r="Q9" s="3"/>
    </row>
    <row r="10" spans="1:17" x14ac:dyDescent="0.25">
      <c r="A10" s="14"/>
      <c r="B10" s="15"/>
      <c r="C10" s="15"/>
      <c r="D10" s="15"/>
      <c r="E10" s="18"/>
      <c r="F10" s="2"/>
      <c r="G10" s="19" t="s">
        <v>14</v>
      </c>
      <c r="H10" s="20">
        <v>1642032.77</v>
      </c>
      <c r="I10" s="20">
        <v>716069.97</v>
      </c>
      <c r="J10" s="21">
        <v>91397.85</v>
      </c>
      <c r="K10" s="2"/>
      <c r="L10" s="2"/>
      <c r="M10" s="2"/>
      <c r="N10" s="2"/>
      <c r="O10" s="2"/>
      <c r="P10" s="2"/>
      <c r="Q10" s="3"/>
    </row>
    <row r="11" spans="1:17" x14ac:dyDescent="0.25">
      <c r="A11" s="14"/>
      <c r="B11" s="2"/>
      <c r="C11" s="2"/>
      <c r="D11" s="2"/>
      <c r="E11" s="18"/>
      <c r="F11" s="2"/>
      <c r="G11" s="19" t="s">
        <v>15</v>
      </c>
      <c r="H11" s="20">
        <v>1421355.62</v>
      </c>
      <c r="I11" s="20">
        <v>741468.41</v>
      </c>
      <c r="J11" s="21">
        <v>65121.93</v>
      </c>
      <c r="K11" s="2"/>
      <c r="L11" s="2"/>
      <c r="M11" s="2"/>
      <c r="N11" s="2"/>
      <c r="O11" s="2"/>
      <c r="P11" s="2"/>
      <c r="Q11" s="3"/>
    </row>
    <row r="12" spans="1:17" x14ac:dyDescent="0.25">
      <c r="A12" s="2"/>
      <c r="B12" s="2"/>
      <c r="C12" s="2"/>
      <c r="D12" s="2"/>
      <c r="E12" s="18"/>
      <c r="F12" s="2"/>
      <c r="G12" s="19" t="s">
        <v>16</v>
      </c>
      <c r="H12" s="20">
        <v>1430467.24</v>
      </c>
      <c r="I12" s="20">
        <v>813780.1</v>
      </c>
      <c r="J12" s="21">
        <v>74778.11</v>
      </c>
      <c r="K12" s="2"/>
      <c r="L12" s="2"/>
      <c r="M12" s="2"/>
      <c r="N12" s="2"/>
      <c r="O12" s="2"/>
      <c r="P12" s="2"/>
      <c r="Q12" s="3"/>
    </row>
    <row r="13" spans="1:17" x14ac:dyDescent="0.25">
      <c r="A13" s="2"/>
      <c r="B13" s="2"/>
      <c r="C13" s="2"/>
      <c r="D13" s="2"/>
      <c r="E13" s="9"/>
      <c r="F13" s="2"/>
      <c r="G13" s="19" t="s">
        <v>17</v>
      </c>
      <c r="H13" s="22">
        <v>1317049.08</v>
      </c>
      <c r="I13" s="22">
        <v>1698478.23</v>
      </c>
      <c r="J13" s="23">
        <v>83243.360000000001</v>
      </c>
      <c r="K13" s="2"/>
      <c r="L13" s="2"/>
      <c r="M13" s="2"/>
      <c r="N13" s="2"/>
      <c r="O13" s="2"/>
      <c r="P13" s="2"/>
      <c r="Q13" s="3"/>
    </row>
    <row r="14" spans="1:17" x14ac:dyDescent="0.25">
      <c r="A14" s="2"/>
      <c r="B14" s="2"/>
      <c r="C14" s="2"/>
      <c r="D14" s="2"/>
      <c r="E14" s="9"/>
      <c r="F14" s="2"/>
      <c r="G14" s="19" t="s">
        <v>18</v>
      </c>
      <c r="H14" s="20">
        <v>1089922.08</v>
      </c>
      <c r="I14" s="20">
        <v>960821.59</v>
      </c>
      <c r="J14" s="23">
        <v>69638.86</v>
      </c>
      <c r="K14" s="2"/>
      <c r="L14" s="2"/>
      <c r="M14" s="2"/>
      <c r="N14" s="2"/>
      <c r="O14" s="2"/>
      <c r="P14" s="2"/>
      <c r="Q14" s="3"/>
    </row>
    <row r="15" spans="1:17" x14ac:dyDescent="0.25">
      <c r="A15" s="2"/>
      <c r="B15" s="2"/>
      <c r="C15" s="2"/>
      <c r="D15" s="2"/>
      <c r="E15" s="9"/>
      <c r="F15" s="2"/>
      <c r="G15" s="19" t="s">
        <v>19</v>
      </c>
      <c r="H15" s="22">
        <v>1153488.57</v>
      </c>
      <c r="I15" s="22">
        <v>819529.21</v>
      </c>
      <c r="J15" s="24">
        <v>54592.34</v>
      </c>
      <c r="K15" s="2"/>
      <c r="L15" s="2"/>
      <c r="M15" s="2"/>
      <c r="N15" s="2"/>
      <c r="O15" s="2"/>
      <c r="P15" s="2"/>
      <c r="Q15" s="3"/>
    </row>
    <row r="16" spans="1:17" x14ac:dyDescent="0.25">
      <c r="A16" s="2"/>
      <c r="B16" s="2"/>
      <c r="C16" s="2"/>
      <c r="D16" s="2"/>
      <c r="E16" s="9"/>
      <c r="F16" s="2"/>
      <c r="G16" s="19" t="s">
        <v>20</v>
      </c>
      <c r="H16" s="20">
        <v>1134744.69</v>
      </c>
      <c r="I16" s="20">
        <v>952106.11</v>
      </c>
      <c r="J16" s="21">
        <v>52449.91</v>
      </c>
      <c r="K16" s="2"/>
      <c r="L16" s="2"/>
      <c r="M16" s="2"/>
      <c r="N16" s="2"/>
      <c r="O16" s="2"/>
      <c r="P16" s="2"/>
      <c r="Q16" s="3"/>
    </row>
    <row r="17" spans="1:17" x14ac:dyDescent="0.25">
      <c r="A17" s="2"/>
      <c r="B17" s="2"/>
      <c r="C17" s="2"/>
      <c r="D17" s="2"/>
      <c r="E17" s="9"/>
      <c r="F17" s="2"/>
      <c r="G17" s="19" t="s">
        <v>21</v>
      </c>
      <c r="H17" s="20">
        <v>747176.42</v>
      </c>
      <c r="I17" s="20">
        <v>952150.29</v>
      </c>
      <c r="J17" s="21">
        <v>50520.43</v>
      </c>
      <c r="K17" s="2"/>
      <c r="L17" s="2"/>
      <c r="M17" s="2"/>
      <c r="N17" s="2"/>
      <c r="O17" s="2"/>
      <c r="P17" s="2"/>
      <c r="Q17" s="3"/>
    </row>
    <row r="18" spans="1:17" ht="13.5" thickBot="1" x14ac:dyDescent="0.25">
      <c r="A18" s="2"/>
      <c r="B18" s="2"/>
      <c r="C18" s="2"/>
      <c r="D18" s="2"/>
      <c r="E18" s="18"/>
      <c r="F18" s="2"/>
      <c r="G18" s="25" t="s">
        <v>22</v>
      </c>
      <c r="H18" s="26">
        <f>SUM(H6:H17)</f>
        <v>13724247.590000002</v>
      </c>
      <c r="I18" s="26">
        <f>SUM(I6:I17)</f>
        <v>11137885.979999997</v>
      </c>
      <c r="J18" s="27">
        <f>SUM(J6:J17)</f>
        <v>740926.79</v>
      </c>
      <c r="K18" s="2"/>
      <c r="L18" s="2"/>
      <c r="M18" s="2"/>
      <c r="N18" s="1"/>
      <c r="O18" s="2"/>
      <c r="P18" s="2"/>
      <c r="Q18" s="3"/>
    </row>
    <row r="19" spans="1:17" ht="13.5" thickTop="1" x14ac:dyDescent="0.2">
      <c r="A19" s="2"/>
      <c r="B19" s="2"/>
      <c r="C19" s="2"/>
      <c r="D19" s="2"/>
      <c r="E19" s="9"/>
      <c r="F19" s="2"/>
      <c r="G19" s="28"/>
      <c r="H19" s="29"/>
      <c r="I19" s="29"/>
      <c r="J19" s="30"/>
      <c r="K19" s="2"/>
      <c r="L19" s="2"/>
      <c r="M19" s="2"/>
      <c r="N19" s="31"/>
      <c r="O19" s="2"/>
      <c r="P19" s="2"/>
      <c r="Q19" s="3"/>
    </row>
    <row r="20" spans="1:17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1"/>
      <c r="O20" s="2"/>
      <c r="P20" s="2"/>
      <c r="Q20" s="3"/>
    </row>
    <row r="21" spans="1:17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</row>
    <row r="22" spans="1:17" ht="12.75" x14ac:dyDescent="0.2">
      <c r="A22" s="6" t="s">
        <v>23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/>
    </row>
    <row r="23" spans="1:17" ht="12.75" x14ac:dyDescent="0.2">
      <c r="A23" s="16"/>
      <c r="B23" s="5"/>
      <c r="C23" s="5"/>
      <c r="D23" s="5"/>
      <c r="E23" s="5"/>
      <c r="F23" s="32"/>
      <c r="G23" s="9"/>
      <c r="H23" s="9"/>
      <c r="I23" s="9"/>
      <c r="J23" s="9"/>
      <c r="K23" s="9"/>
      <c r="L23" s="32"/>
      <c r="M23" s="9"/>
      <c r="N23" s="9"/>
      <c r="O23" s="9"/>
      <c r="P23" s="9"/>
      <c r="Q23" s="33"/>
    </row>
    <row r="24" spans="1:17" ht="12.75" x14ac:dyDescent="0.2">
      <c r="A24" s="34"/>
      <c r="B24" s="35" t="s">
        <v>24</v>
      </c>
      <c r="C24" s="35" t="s">
        <v>25</v>
      </c>
      <c r="D24" s="35" t="s">
        <v>26</v>
      </c>
      <c r="E24" s="35" t="s">
        <v>27</v>
      </c>
      <c r="F24" s="36"/>
      <c r="G24" s="35"/>
      <c r="H24" s="35" t="s">
        <v>24</v>
      </c>
      <c r="I24" s="35" t="s">
        <v>25</v>
      </c>
      <c r="J24" s="35" t="s">
        <v>26</v>
      </c>
      <c r="K24" s="35" t="s">
        <v>27</v>
      </c>
      <c r="L24" s="36"/>
      <c r="M24" s="35"/>
      <c r="N24" s="35" t="s">
        <v>24</v>
      </c>
      <c r="O24" s="35" t="s">
        <v>28</v>
      </c>
      <c r="P24" s="35" t="s">
        <v>26</v>
      </c>
      <c r="Q24" s="37" t="s">
        <v>27</v>
      </c>
    </row>
    <row r="25" spans="1:17" ht="12.75" x14ac:dyDescent="0.2">
      <c r="A25" s="38">
        <f>G5</f>
        <v>2019</v>
      </c>
      <c r="B25" s="12" t="s">
        <v>3</v>
      </c>
      <c r="C25" s="12" t="s">
        <v>3</v>
      </c>
      <c r="D25" s="12" t="s">
        <v>3</v>
      </c>
      <c r="E25" s="39" t="s">
        <v>29</v>
      </c>
      <c r="F25" s="32"/>
      <c r="G25" s="12">
        <f>G5</f>
        <v>2019</v>
      </c>
      <c r="H25" s="12" t="s">
        <v>4</v>
      </c>
      <c r="I25" s="12" t="s">
        <v>4</v>
      </c>
      <c r="J25" s="12" t="s">
        <v>4</v>
      </c>
      <c r="K25" s="39" t="s">
        <v>29</v>
      </c>
      <c r="L25" s="32"/>
      <c r="M25" s="12">
        <f>G5</f>
        <v>2019</v>
      </c>
      <c r="N25" s="12" t="s">
        <v>5</v>
      </c>
      <c r="O25" s="12" t="s">
        <v>5</v>
      </c>
      <c r="P25" s="12" t="s">
        <v>5</v>
      </c>
      <c r="Q25" s="40" t="s">
        <v>29</v>
      </c>
    </row>
    <row r="26" spans="1:17" x14ac:dyDescent="0.25">
      <c r="A26" s="19" t="s">
        <v>8</v>
      </c>
      <c r="B26" s="41">
        <v>1183999.1200000001</v>
      </c>
      <c r="C26" s="41">
        <v>963311.29</v>
      </c>
      <c r="D26" s="20">
        <f>B26-C26</f>
        <v>220687.83000000007</v>
      </c>
      <c r="E26" s="42">
        <v>2018338166</v>
      </c>
      <c r="F26" s="43"/>
      <c r="G26" s="20" t="s">
        <v>8</v>
      </c>
      <c r="H26" s="44">
        <v>1263943.8799999999</v>
      </c>
      <c r="I26" s="41">
        <v>1256456.1000000001</v>
      </c>
      <c r="J26" s="20">
        <f t="shared" ref="J26:J37" si="0">H26-I26</f>
        <v>7487.7799999997951</v>
      </c>
      <c r="K26" s="45">
        <v>35577883</v>
      </c>
      <c r="L26" s="43"/>
      <c r="M26" s="20" t="s">
        <v>8</v>
      </c>
      <c r="N26" s="22">
        <v>47611.37</v>
      </c>
      <c r="O26" s="22">
        <f>51000+21923.79</f>
        <v>72923.790000000008</v>
      </c>
      <c r="P26" s="20">
        <f t="shared" ref="P26:P37" si="1">N26-O26</f>
        <v>-25312.420000000006</v>
      </c>
      <c r="Q26" s="46" t="s">
        <v>30</v>
      </c>
    </row>
    <row r="27" spans="1:17" x14ac:dyDescent="0.25">
      <c r="A27" s="19" t="s">
        <v>10</v>
      </c>
      <c r="B27" s="41">
        <v>1044210.49</v>
      </c>
      <c r="C27" s="41">
        <v>866270.73</v>
      </c>
      <c r="D27" s="20">
        <f t="shared" ref="D27:D37" si="2">B27-C27</f>
        <v>177939.76</v>
      </c>
      <c r="E27" s="42">
        <v>2018533312</v>
      </c>
      <c r="F27" s="43"/>
      <c r="G27" s="20" t="s">
        <v>10</v>
      </c>
      <c r="H27" s="44">
        <v>824941.09</v>
      </c>
      <c r="I27" s="41">
        <v>819269.41</v>
      </c>
      <c r="J27" s="20">
        <f t="shared" si="0"/>
        <v>5671.6799999999348</v>
      </c>
      <c r="K27" s="45">
        <v>36362983</v>
      </c>
      <c r="L27" s="43"/>
      <c r="M27" s="20" t="s">
        <v>10</v>
      </c>
      <c r="N27" s="22">
        <v>47888.91</v>
      </c>
      <c r="O27" s="41">
        <f>65778.75</f>
        <v>65778.75</v>
      </c>
      <c r="P27" s="20">
        <f t="shared" si="1"/>
        <v>-17889.839999999997</v>
      </c>
      <c r="Q27" s="46" t="s">
        <v>31</v>
      </c>
    </row>
    <row r="28" spans="1:17" x14ac:dyDescent="0.25">
      <c r="A28" s="19" t="s">
        <v>12</v>
      </c>
      <c r="B28" s="41">
        <v>753001.51</v>
      </c>
      <c r="C28" s="41">
        <v>602187.53</v>
      </c>
      <c r="D28" s="20">
        <f t="shared" si="2"/>
        <v>150813.97999999998</v>
      </c>
      <c r="E28" s="42">
        <v>2018609405</v>
      </c>
      <c r="F28" s="43"/>
      <c r="G28" s="20" t="s">
        <v>12</v>
      </c>
      <c r="H28" s="47">
        <v>814563.21</v>
      </c>
      <c r="I28" s="48">
        <v>810100.23</v>
      </c>
      <c r="J28" s="22">
        <f t="shared" si="0"/>
        <v>4462.9799999999814</v>
      </c>
      <c r="K28" s="49">
        <v>3683483</v>
      </c>
      <c r="L28" s="43"/>
      <c r="M28" s="20" t="s">
        <v>12</v>
      </c>
      <c r="N28" s="22">
        <v>41103.24</v>
      </c>
      <c r="O28" s="22">
        <f>65505.69</f>
        <v>65505.69</v>
      </c>
      <c r="P28" s="20">
        <f t="shared" si="1"/>
        <v>-24402.450000000004</v>
      </c>
      <c r="Q28" s="46" t="s">
        <v>32</v>
      </c>
    </row>
    <row r="29" spans="1:17" x14ac:dyDescent="0.25">
      <c r="A29" s="19" t="s">
        <v>13</v>
      </c>
      <c r="B29" s="41">
        <v>760621.22</v>
      </c>
      <c r="C29" s="41">
        <v>541372.94999999995</v>
      </c>
      <c r="D29" s="20">
        <f t="shared" si="2"/>
        <v>219248.27000000002</v>
      </c>
      <c r="E29" s="42">
        <v>2018806502</v>
      </c>
      <c r="F29" s="43"/>
      <c r="G29" s="20" t="s">
        <v>13</v>
      </c>
      <c r="H29" s="44">
        <v>560641.11899999995</v>
      </c>
      <c r="I29" s="41">
        <v>557052.91</v>
      </c>
      <c r="J29" s="20">
        <f t="shared" si="0"/>
        <v>3588.2089999999152</v>
      </c>
      <c r="K29" s="45">
        <v>3722963</v>
      </c>
      <c r="L29" s="43"/>
      <c r="M29" s="20" t="s">
        <v>13</v>
      </c>
      <c r="N29" s="22">
        <v>33679.050000000003</v>
      </c>
      <c r="O29" s="22">
        <f>49000+54.03</f>
        <v>49054.03</v>
      </c>
      <c r="P29" s="20">
        <f t="shared" si="1"/>
        <v>-15374.979999999996</v>
      </c>
      <c r="Q29" s="46" t="s">
        <v>33</v>
      </c>
    </row>
    <row r="30" spans="1:17" x14ac:dyDescent="0.25">
      <c r="A30" s="19" t="s">
        <v>14</v>
      </c>
      <c r="B30" s="41">
        <v>1454961.58</v>
      </c>
      <c r="C30" s="41">
        <v>1426433.73</v>
      </c>
      <c r="D30" s="20">
        <f t="shared" si="2"/>
        <v>28527.850000000093</v>
      </c>
      <c r="E30" s="42">
        <v>2018986583</v>
      </c>
      <c r="F30" s="43"/>
      <c r="G30" s="20" t="s">
        <v>14</v>
      </c>
      <c r="H30" s="44">
        <v>716852.12</v>
      </c>
      <c r="I30" s="41">
        <v>712173.17</v>
      </c>
      <c r="J30" s="20">
        <f t="shared" si="0"/>
        <v>4678.9499999999534</v>
      </c>
      <c r="K30" s="45">
        <v>3761083</v>
      </c>
      <c r="L30" s="43"/>
      <c r="M30" s="20" t="s">
        <v>14</v>
      </c>
      <c r="N30" s="22">
        <v>55896.62</v>
      </c>
      <c r="O30" s="41">
        <f>51000+40429.96</f>
        <v>91429.959999999992</v>
      </c>
      <c r="P30" s="20">
        <f t="shared" si="1"/>
        <v>-35533.339999999989</v>
      </c>
      <c r="Q30" s="46" t="s">
        <v>34</v>
      </c>
    </row>
    <row r="31" spans="1:17" x14ac:dyDescent="0.25">
      <c r="A31" s="19" t="s">
        <v>15</v>
      </c>
      <c r="B31" s="41">
        <v>1415192.66</v>
      </c>
      <c r="C31" s="41">
        <v>1405501.07</v>
      </c>
      <c r="D31" s="20">
        <f t="shared" si="2"/>
        <v>9691.589999999851</v>
      </c>
      <c r="E31" s="42">
        <v>2019142090</v>
      </c>
      <c r="F31" s="43"/>
      <c r="G31" s="20" t="s">
        <v>15</v>
      </c>
      <c r="H31" s="47">
        <v>742781.93</v>
      </c>
      <c r="I31" s="50">
        <v>736521.99</v>
      </c>
      <c r="J31" s="51">
        <f t="shared" si="0"/>
        <v>6259.9400000000605</v>
      </c>
      <c r="K31" s="52" t="s">
        <v>35</v>
      </c>
      <c r="L31" s="43"/>
      <c r="M31" s="20" t="s">
        <v>15</v>
      </c>
      <c r="N31" s="22">
        <v>60320.35</v>
      </c>
      <c r="O31" s="22">
        <f>51000+39844.51</f>
        <v>90844.510000000009</v>
      </c>
      <c r="P31" s="20">
        <f t="shared" si="1"/>
        <v>-30524.160000000011</v>
      </c>
      <c r="Q31" s="46" t="s">
        <v>36</v>
      </c>
    </row>
    <row r="32" spans="1:17" x14ac:dyDescent="0.25">
      <c r="A32" s="19" t="s">
        <v>16</v>
      </c>
      <c r="B32" s="41">
        <v>1367041.64</v>
      </c>
      <c r="C32" s="41">
        <v>1385698</v>
      </c>
      <c r="D32" s="20">
        <f t="shared" si="2"/>
        <v>-18656.360000000102</v>
      </c>
      <c r="E32" s="42">
        <v>2019235675</v>
      </c>
      <c r="F32" s="43"/>
      <c r="G32" s="20" t="s">
        <v>16</v>
      </c>
      <c r="H32" s="47">
        <f>755606.4+50073.37+169238.07</f>
        <v>974917.84000000008</v>
      </c>
      <c r="I32" s="22">
        <f>H32</f>
        <v>974917.84000000008</v>
      </c>
      <c r="J32" s="20">
        <f t="shared" si="0"/>
        <v>0</v>
      </c>
      <c r="K32" s="42" t="s">
        <v>35</v>
      </c>
      <c r="L32" s="43"/>
      <c r="M32" s="20" t="s">
        <v>16</v>
      </c>
      <c r="N32" s="22">
        <v>57624.480000000003</v>
      </c>
      <c r="O32" s="22">
        <f>51000+41695.99</f>
        <v>92695.989999999991</v>
      </c>
      <c r="P32" s="20">
        <f t="shared" si="1"/>
        <v>-35071.509999999987</v>
      </c>
      <c r="Q32" s="46" t="s">
        <v>37</v>
      </c>
    </row>
    <row r="33" spans="1:18" x14ac:dyDescent="0.25">
      <c r="A33" s="19" t="s">
        <v>17</v>
      </c>
      <c r="B33" s="41">
        <v>1332532</v>
      </c>
      <c r="C33" s="41">
        <v>1323402.3999999999</v>
      </c>
      <c r="D33" s="20">
        <f>B33-C33</f>
        <v>9129.6000000000931</v>
      </c>
      <c r="E33" s="42" t="s">
        <v>38</v>
      </c>
      <c r="F33" s="43"/>
      <c r="G33" s="20" t="s">
        <v>17</v>
      </c>
      <c r="H33" s="47">
        <f>910505.65-276885.6</f>
        <v>633620.05000000005</v>
      </c>
      <c r="I33" s="22">
        <f t="shared" ref="I33:I34" si="3">H33</f>
        <v>633620.05000000005</v>
      </c>
      <c r="J33" s="20">
        <f t="shared" si="0"/>
        <v>0</v>
      </c>
      <c r="K33" s="42" t="s">
        <v>35</v>
      </c>
      <c r="L33" s="43"/>
      <c r="M33" s="20" t="s">
        <v>17</v>
      </c>
      <c r="N33" s="22">
        <v>54846.09</v>
      </c>
      <c r="O33" s="22">
        <f>51000+36056.59</f>
        <v>87056.59</v>
      </c>
      <c r="P33" s="20">
        <f t="shared" si="1"/>
        <v>-32210.5</v>
      </c>
      <c r="Q33" s="46" t="s">
        <v>39</v>
      </c>
      <c r="R33" s="4" t="s">
        <v>40</v>
      </c>
    </row>
    <row r="34" spans="1:18" x14ac:dyDescent="0.25">
      <c r="A34" s="19" t="s">
        <v>18</v>
      </c>
      <c r="B34" s="41">
        <v>1080820.42</v>
      </c>
      <c r="C34" s="41">
        <v>1080820.42</v>
      </c>
      <c r="D34" s="20">
        <f t="shared" si="2"/>
        <v>0</v>
      </c>
      <c r="E34" s="42">
        <v>2019432264</v>
      </c>
      <c r="F34" s="43"/>
      <c r="G34" s="20" t="s">
        <v>18</v>
      </c>
      <c r="H34" s="22">
        <v>655975.57999999996</v>
      </c>
      <c r="I34" s="22">
        <f t="shared" si="3"/>
        <v>655975.57999999996</v>
      </c>
      <c r="J34" s="20">
        <f t="shared" si="0"/>
        <v>0</v>
      </c>
      <c r="K34" s="42" t="s">
        <v>35</v>
      </c>
      <c r="L34" s="43"/>
      <c r="M34" s="20" t="s">
        <v>18</v>
      </c>
      <c r="N34" s="22">
        <v>59663.48</v>
      </c>
      <c r="O34" s="22">
        <v>88828.7</v>
      </c>
      <c r="P34" s="20">
        <f t="shared" si="1"/>
        <v>-29165.219999999994</v>
      </c>
      <c r="Q34" s="46" t="s">
        <v>41</v>
      </c>
    </row>
    <row r="35" spans="1:18" x14ac:dyDescent="0.25">
      <c r="A35" s="19" t="s">
        <v>19</v>
      </c>
      <c r="B35" s="48">
        <v>1139897.78</v>
      </c>
      <c r="C35" s="41">
        <v>1132075.6499999999</v>
      </c>
      <c r="D35" s="20">
        <f t="shared" si="2"/>
        <v>7822.1300000001211</v>
      </c>
      <c r="E35" s="42">
        <v>2019579868</v>
      </c>
      <c r="F35" s="43"/>
      <c r="G35" s="20" t="s">
        <v>19</v>
      </c>
      <c r="H35" s="22">
        <f>821637.54-2398.34</f>
        <v>819239.20000000007</v>
      </c>
      <c r="I35" s="22">
        <f>H35</f>
        <v>819239.20000000007</v>
      </c>
      <c r="J35" s="20">
        <f t="shared" si="0"/>
        <v>0</v>
      </c>
      <c r="K35" s="42" t="s">
        <v>35</v>
      </c>
      <c r="L35" s="43"/>
      <c r="M35" s="20" t="s">
        <v>19</v>
      </c>
      <c r="N35" s="22">
        <v>53848.65</v>
      </c>
      <c r="O35" s="22">
        <f>51000+35578.65</f>
        <v>86578.65</v>
      </c>
      <c r="P35" s="20">
        <f t="shared" si="1"/>
        <v>-32729.999999999993</v>
      </c>
      <c r="Q35" s="53" t="s">
        <v>42</v>
      </c>
    </row>
    <row r="36" spans="1:18" x14ac:dyDescent="0.25">
      <c r="A36" s="19" t="s">
        <v>20</v>
      </c>
      <c r="B36" s="48">
        <v>1128479.58</v>
      </c>
      <c r="C36" s="41">
        <v>1120734.99</v>
      </c>
      <c r="D36" s="20">
        <f t="shared" si="2"/>
        <v>7744.5900000000838</v>
      </c>
      <c r="E36" s="42">
        <v>2019692429</v>
      </c>
      <c r="F36" s="43"/>
      <c r="G36" s="20" t="s">
        <v>20</v>
      </c>
      <c r="H36" s="22">
        <f>27188.95+924670.58</f>
        <v>951859.52999999991</v>
      </c>
      <c r="I36" s="22">
        <f t="shared" ref="I36:I37" si="4">H36</f>
        <v>951859.52999999991</v>
      </c>
      <c r="J36" s="20">
        <f t="shared" si="0"/>
        <v>0</v>
      </c>
      <c r="K36" s="42" t="s">
        <v>35</v>
      </c>
      <c r="L36" s="43"/>
      <c r="M36" s="20" t="s">
        <v>20</v>
      </c>
      <c r="N36" s="22">
        <v>56195.89</v>
      </c>
      <c r="O36" s="22">
        <f>53848.65+5195.89</f>
        <v>59044.54</v>
      </c>
      <c r="P36" s="20">
        <f t="shared" si="1"/>
        <v>-2848.6500000000015</v>
      </c>
      <c r="Q36" s="53" t="s">
        <v>43</v>
      </c>
    </row>
    <row r="37" spans="1:18" x14ac:dyDescent="0.25">
      <c r="A37" s="19" t="s">
        <v>21</v>
      </c>
      <c r="B37" s="20">
        <v>746238.61</v>
      </c>
      <c r="C37" s="20">
        <v>746238.61</v>
      </c>
      <c r="D37" s="20">
        <f t="shared" si="2"/>
        <v>0</v>
      </c>
      <c r="E37" s="42">
        <v>2019797605</v>
      </c>
      <c r="F37" s="43"/>
      <c r="G37" s="20" t="s">
        <v>21</v>
      </c>
      <c r="H37" s="22">
        <v>950641.72</v>
      </c>
      <c r="I37" s="22">
        <f t="shared" si="4"/>
        <v>950641.72</v>
      </c>
      <c r="J37" s="20">
        <f t="shared" si="0"/>
        <v>0</v>
      </c>
      <c r="K37" s="42" t="s">
        <v>35</v>
      </c>
      <c r="L37" s="43"/>
      <c r="M37" s="20" t="s">
        <v>21</v>
      </c>
      <c r="N37" s="22">
        <v>56858.84</v>
      </c>
      <c r="O37" s="51">
        <v>0</v>
      </c>
      <c r="P37" s="20">
        <f t="shared" si="1"/>
        <v>56858.84</v>
      </c>
      <c r="Q37" s="53" t="s">
        <v>44</v>
      </c>
    </row>
    <row r="38" spans="1:18" ht="15.75" thickBot="1" x14ac:dyDescent="0.3">
      <c r="A38" s="25" t="s">
        <v>22</v>
      </c>
      <c r="B38" s="54">
        <f>SUM(B26:B37)</f>
        <v>13406996.609999998</v>
      </c>
      <c r="C38" s="54">
        <f t="shared" ref="C38:D38" si="5">SUM(C26:C37)</f>
        <v>12594047.370000001</v>
      </c>
      <c r="D38" s="55">
        <f t="shared" si="5"/>
        <v>812949.24000000022</v>
      </c>
      <c r="E38" s="56"/>
      <c r="F38" s="43"/>
      <c r="G38" s="57" t="s">
        <v>22</v>
      </c>
      <c r="H38" s="54">
        <f>SUM(H26:H37)</f>
        <v>9909977.2689999994</v>
      </c>
      <c r="I38" s="54">
        <f t="shared" ref="I38:J38" si="6">SUM(I26:I37)</f>
        <v>9877827.7300000004</v>
      </c>
      <c r="J38" s="55">
        <f t="shared" si="6"/>
        <v>32149.538999999641</v>
      </c>
      <c r="K38" s="56"/>
      <c r="L38" s="43"/>
      <c r="M38" s="57" t="s">
        <v>22</v>
      </c>
      <c r="N38" s="54">
        <f>SUM(N26:N37)</f>
        <v>625536.97</v>
      </c>
      <c r="O38" s="54">
        <f t="shared" ref="O38:P38" si="7">SUM(O26:O37)</f>
        <v>849741.2</v>
      </c>
      <c r="P38" s="54">
        <f t="shared" si="7"/>
        <v>-224204.23</v>
      </c>
      <c r="Q38" s="53"/>
    </row>
    <row r="39" spans="1:18" ht="13.5" thickTop="1" x14ac:dyDescent="0.2">
      <c r="A39" s="28"/>
      <c r="B39" s="29"/>
      <c r="C39" s="29"/>
      <c r="D39" s="29"/>
      <c r="E39" s="58"/>
      <c r="F39" s="59"/>
      <c r="G39" s="29"/>
      <c r="H39" s="29"/>
      <c r="I39" s="29"/>
      <c r="J39" s="29"/>
      <c r="K39" s="58"/>
      <c r="L39" s="59"/>
      <c r="M39" s="29"/>
      <c r="N39" s="29"/>
      <c r="O39" s="29"/>
      <c r="P39" s="29"/>
      <c r="Q39" s="60"/>
    </row>
    <row r="40" spans="1:18" x14ac:dyDescent="0.25">
      <c r="A40" s="2"/>
      <c r="B40" s="2"/>
      <c r="C40" s="2"/>
      <c r="D40" s="2"/>
      <c r="E40" s="2"/>
      <c r="F40" s="43"/>
      <c r="G40" s="2"/>
      <c r="H40" s="2"/>
      <c r="I40" s="2"/>
      <c r="J40" s="2"/>
      <c r="K40" s="2"/>
      <c r="L40" s="43"/>
      <c r="M40" s="2"/>
      <c r="N40" s="2"/>
      <c r="O40" s="2"/>
      <c r="P40" s="2"/>
      <c r="Q40" s="3"/>
    </row>
    <row r="41" spans="1:18" ht="25.5" x14ac:dyDescent="0.2">
      <c r="A41" s="1"/>
      <c r="B41" s="61" t="s">
        <v>45</v>
      </c>
      <c r="C41" s="62" t="s">
        <v>46</v>
      </c>
      <c r="D41" s="62"/>
      <c r="E41" s="62"/>
      <c r="F41" s="63"/>
      <c r="G41" s="62"/>
      <c r="H41" s="61" t="s">
        <v>47</v>
      </c>
      <c r="I41" s="64" t="s">
        <v>48</v>
      </c>
      <c r="J41" s="65" t="s">
        <v>49</v>
      </c>
      <c r="K41" s="66" t="s">
        <v>50</v>
      </c>
      <c r="L41" s="63"/>
      <c r="M41" s="62"/>
      <c r="N41" s="64" t="s">
        <v>51</v>
      </c>
      <c r="O41" s="64" t="s">
        <v>48</v>
      </c>
      <c r="P41" s="65" t="s">
        <v>49</v>
      </c>
      <c r="Q41" s="66" t="s">
        <v>50</v>
      </c>
    </row>
    <row r="42" spans="1:18" ht="12.75" x14ac:dyDescent="0.2">
      <c r="A42" s="1" t="s">
        <v>52</v>
      </c>
      <c r="B42" s="67">
        <v>21965328</v>
      </c>
      <c r="C42" s="68">
        <f>1170313.08/B42</f>
        <v>5.3280018399907349E-2</v>
      </c>
      <c r="D42" s="1"/>
      <c r="E42" s="1"/>
      <c r="F42" s="69"/>
      <c r="G42" s="1" t="s">
        <v>52</v>
      </c>
      <c r="H42" s="70">
        <v>388720</v>
      </c>
      <c r="I42" s="71">
        <f>J42/H42</f>
        <v>3.0606221187487139</v>
      </c>
      <c r="J42" s="72">
        <v>1189725.03</v>
      </c>
      <c r="K42" s="72">
        <v>65554.320000000007</v>
      </c>
      <c r="L42" s="69"/>
      <c r="M42" s="1" t="s">
        <v>52</v>
      </c>
      <c r="N42" s="72">
        <v>58254.451999999997</v>
      </c>
      <c r="O42" s="73">
        <v>0.74299999999999999</v>
      </c>
      <c r="P42" s="74">
        <f t="shared" ref="P42:P53" si="8">N42*O42</f>
        <v>43283.057836</v>
      </c>
      <c r="Q42" s="72">
        <v>4328.3100000000004</v>
      </c>
    </row>
    <row r="43" spans="1:18" ht="12.75" x14ac:dyDescent="0.2">
      <c r="A43" s="1" t="s">
        <v>53</v>
      </c>
      <c r="B43" s="67">
        <v>17186400</v>
      </c>
      <c r="C43" s="68">
        <f>1031414.34/B43</f>
        <v>6.0013402457757298E-2</v>
      </c>
      <c r="D43" s="1"/>
      <c r="E43" s="1"/>
      <c r="F43" s="69"/>
      <c r="G43" s="1" t="s">
        <v>53</v>
      </c>
      <c r="H43" s="70">
        <v>293865</v>
      </c>
      <c r="I43" s="71">
        <f t="shared" ref="I43:I53" si="9">J43/H43</f>
        <v>2.5707070593639934</v>
      </c>
      <c r="J43" s="72">
        <v>755440.83</v>
      </c>
      <c r="K43" s="72">
        <v>63817.02</v>
      </c>
      <c r="L43" s="69"/>
      <c r="M43" s="1" t="s">
        <v>53</v>
      </c>
      <c r="N43" s="72">
        <v>58594.038</v>
      </c>
      <c r="O43" s="73">
        <v>0.74299999999999999</v>
      </c>
      <c r="P43" s="74">
        <f t="shared" si="8"/>
        <v>43535.370234000002</v>
      </c>
      <c r="Q43" s="72">
        <v>4353.54</v>
      </c>
    </row>
    <row r="44" spans="1:18" ht="12.75" x14ac:dyDescent="0.2">
      <c r="A44" s="1" t="s">
        <v>54</v>
      </c>
      <c r="B44" s="67">
        <v>10090080</v>
      </c>
      <c r="C44" s="68">
        <f>742510/B44</f>
        <v>7.3588118230975372E-2</v>
      </c>
      <c r="D44" s="1" t="s">
        <v>55</v>
      </c>
      <c r="E44" s="1"/>
      <c r="F44" s="69"/>
      <c r="G44" s="1" t="s">
        <v>54</v>
      </c>
      <c r="H44" s="75">
        <v>223805</v>
      </c>
      <c r="I44" s="71">
        <f t="shared" si="9"/>
        <v>3.331039476329841</v>
      </c>
      <c r="J44" s="74">
        <v>745503.29</v>
      </c>
      <c r="K44" s="74">
        <v>63447.16</v>
      </c>
      <c r="L44" s="69"/>
      <c r="M44" s="1" t="s">
        <v>54</v>
      </c>
      <c r="N44" s="72">
        <v>50291.5</v>
      </c>
      <c r="O44" s="73">
        <v>0.74299999999999999</v>
      </c>
      <c r="P44" s="74">
        <f t="shared" si="8"/>
        <v>37366.584499999997</v>
      </c>
      <c r="Q44" s="72">
        <v>3736.66</v>
      </c>
    </row>
    <row r="45" spans="1:18" ht="12.75" x14ac:dyDescent="0.2">
      <c r="A45" s="1" t="s">
        <v>56</v>
      </c>
      <c r="B45" s="67">
        <v>8837136</v>
      </c>
      <c r="C45" s="68">
        <f>749695.66/B45</f>
        <v>8.4834686260344988E-2</v>
      </c>
      <c r="D45" s="1" t="s">
        <v>55</v>
      </c>
      <c r="E45" s="1"/>
      <c r="F45" s="69"/>
      <c r="G45" s="1" t="s">
        <v>56</v>
      </c>
      <c r="H45" s="70">
        <v>209170</v>
      </c>
      <c r="I45" s="71">
        <f t="shared" si="9"/>
        <v>2.3581026437825692</v>
      </c>
      <c r="J45" s="72">
        <v>493244.33</v>
      </c>
      <c r="K45" s="72">
        <v>63508.5</v>
      </c>
      <c r="L45" s="69"/>
      <c r="M45" s="1" t="s">
        <v>56</v>
      </c>
      <c r="N45" s="72">
        <v>41207.699999999997</v>
      </c>
      <c r="O45" s="73">
        <v>0.74299999999999999</v>
      </c>
      <c r="P45" s="74">
        <f t="shared" si="8"/>
        <v>30617.321099999997</v>
      </c>
      <c r="Q45" s="72">
        <v>3061.73</v>
      </c>
    </row>
    <row r="46" spans="1:18" ht="12.75" x14ac:dyDescent="0.2">
      <c r="A46" s="1" t="s">
        <v>57</v>
      </c>
      <c r="B46" s="67">
        <v>22652784</v>
      </c>
      <c r="C46" s="68">
        <f>1410550.34/B46</f>
        <v>6.2268299560883998E-2</v>
      </c>
      <c r="D46" s="1"/>
      <c r="E46" s="1"/>
      <c r="F46" s="69"/>
      <c r="G46" s="1" t="s">
        <v>57</v>
      </c>
      <c r="H46" s="70">
        <v>279450</v>
      </c>
      <c r="I46" s="71">
        <f t="shared" si="9"/>
        <v>2.3187888709966007</v>
      </c>
      <c r="J46" s="72">
        <v>647985.55000000005</v>
      </c>
      <c r="K46" s="72">
        <v>63917.37</v>
      </c>
      <c r="L46" s="69"/>
      <c r="M46" s="1" t="s">
        <v>57</v>
      </c>
      <c r="N46" s="72">
        <v>68391.808000000005</v>
      </c>
      <c r="O46" s="73">
        <v>0.74299999999999999</v>
      </c>
      <c r="P46" s="74">
        <f t="shared" si="8"/>
        <v>50815.113344000005</v>
      </c>
      <c r="Q46" s="72">
        <v>5081.51</v>
      </c>
    </row>
    <row r="47" spans="1:18" ht="12.75" x14ac:dyDescent="0.2">
      <c r="A47" s="1" t="s">
        <v>58</v>
      </c>
      <c r="B47" s="67">
        <v>22586256</v>
      </c>
      <c r="C47" s="68">
        <f>1399100.48/B47</f>
        <v>6.1944772077319944E-2</v>
      </c>
      <c r="D47" s="1"/>
      <c r="E47" s="1"/>
      <c r="F47" s="69"/>
      <c r="G47" s="1" t="s">
        <v>58</v>
      </c>
      <c r="H47" s="70">
        <v>293087</v>
      </c>
      <c r="I47" s="71">
        <f t="shared" si="9"/>
        <v>2.2935378914793221</v>
      </c>
      <c r="J47" s="72">
        <v>672206.14</v>
      </c>
      <c r="K47" s="72">
        <v>64315.85</v>
      </c>
      <c r="L47" s="69"/>
      <c r="M47" s="1" t="s">
        <v>58</v>
      </c>
      <c r="N47" s="72">
        <v>73804.42</v>
      </c>
      <c r="O47" s="73">
        <v>0.74299999999999999</v>
      </c>
      <c r="P47" s="74">
        <f t="shared" si="8"/>
        <v>54836.68406</v>
      </c>
      <c r="Q47" s="72">
        <v>5483.67</v>
      </c>
    </row>
    <row r="48" spans="1:18" ht="12.75" x14ac:dyDescent="0.2">
      <c r="A48" s="1" t="s">
        <v>59</v>
      </c>
      <c r="B48" s="67">
        <v>23595264</v>
      </c>
      <c r="C48" s="68">
        <f>1380072.7/B48</f>
        <v>5.8489394312350139E-2</v>
      </c>
      <c r="D48" s="1"/>
      <c r="E48" s="1"/>
      <c r="F48" s="69"/>
      <c r="G48" s="1" t="s">
        <v>59</v>
      </c>
      <c r="H48" s="87">
        <v>314839</v>
      </c>
      <c r="I48" s="71">
        <f t="shared" si="9"/>
        <v>3.0965599560410246</v>
      </c>
      <c r="J48" s="72">
        <f t="shared" ref="J48:J52" si="10">H32</f>
        <v>974917.84000000008</v>
      </c>
      <c r="K48" s="72"/>
      <c r="L48" s="69"/>
      <c r="M48" s="1" t="s">
        <v>59</v>
      </c>
      <c r="N48" s="72">
        <v>70505.907999999996</v>
      </c>
      <c r="O48" s="73">
        <v>0.74299999999999999</v>
      </c>
      <c r="P48" s="74">
        <f t="shared" si="8"/>
        <v>52385.889643999995</v>
      </c>
      <c r="Q48" s="72">
        <v>5238.59</v>
      </c>
    </row>
    <row r="49" spans="1:17" ht="12.75" x14ac:dyDescent="0.2">
      <c r="A49" s="1" t="s">
        <v>60</v>
      </c>
      <c r="B49" s="67">
        <v>22547448</v>
      </c>
      <c r="C49" s="68">
        <f>1317678.63/B49</f>
        <v>5.8440255855119388E-2</v>
      </c>
      <c r="D49" s="1"/>
      <c r="E49" s="1"/>
      <c r="F49" s="69"/>
      <c r="G49" s="1" t="s">
        <v>60</v>
      </c>
      <c r="H49" s="87">
        <v>221293</v>
      </c>
      <c r="I49" s="71">
        <f t="shared" si="9"/>
        <v>2.8632629590633236</v>
      </c>
      <c r="J49" s="72">
        <f t="shared" si="10"/>
        <v>633620.05000000005</v>
      </c>
      <c r="K49" s="72"/>
      <c r="L49" s="69"/>
      <c r="M49" s="1" t="s">
        <v>60</v>
      </c>
      <c r="N49" s="72">
        <v>67106.428</v>
      </c>
      <c r="O49" s="73">
        <v>0.74299999999999999</v>
      </c>
      <c r="P49" s="74">
        <f t="shared" si="8"/>
        <v>49860.076004000002</v>
      </c>
      <c r="Q49" s="72">
        <v>4986.01</v>
      </c>
    </row>
    <row r="50" spans="1:17" x14ac:dyDescent="0.25">
      <c r="A50" s="1" t="s">
        <v>61</v>
      </c>
      <c r="B50" s="67">
        <v>22026312</v>
      </c>
      <c r="C50" s="68">
        <f>1074971.37/B50</f>
        <v>4.880396545731306E-2</v>
      </c>
      <c r="D50" s="1"/>
      <c r="E50" s="1"/>
      <c r="F50" s="69"/>
      <c r="G50" s="1" t="s">
        <v>61</v>
      </c>
      <c r="H50" s="87">
        <v>231382</v>
      </c>
      <c r="I50" s="71">
        <f t="shared" si="9"/>
        <v>2.8350328893345202</v>
      </c>
      <c r="J50" s="72">
        <f t="shared" si="10"/>
        <v>655975.57999999996</v>
      </c>
      <c r="K50" s="74"/>
      <c r="L50" s="69"/>
      <c r="M50" s="1" t="s">
        <v>61</v>
      </c>
      <c r="N50" s="22">
        <v>73000.707999999999</v>
      </c>
      <c r="O50" s="73">
        <v>0.74299999999999999</v>
      </c>
      <c r="P50" s="74">
        <f t="shared" si="8"/>
        <v>54239.526043999998</v>
      </c>
      <c r="Q50" s="72">
        <v>5423.59</v>
      </c>
    </row>
    <row r="51" spans="1:17" ht="12.75" x14ac:dyDescent="0.2">
      <c r="A51" s="1" t="s">
        <v>62</v>
      </c>
      <c r="B51" s="67">
        <v>23074128</v>
      </c>
      <c r="C51" s="68">
        <f>1126003.75/B51</f>
        <v>4.8799406417438615E-2</v>
      </c>
      <c r="D51" s="1"/>
      <c r="E51" s="1"/>
      <c r="F51" s="69"/>
      <c r="G51" s="1" t="s">
        <v>62</v>
      </c>
      <c r="H51" s="87">
        <v>306719</v>
      </c>
      <c r="I51" s="71">
        <f t="shared" si="9"/>
        <v>2.6709763659897172</v>
      </c>
      <c r="J51" s="72">
        <f t="shared" si="10"/>
        <v>819239.20000000007</v>
      </c>
      <c r="K51" s="72"/>
      <c r="L51" s="69"/>
      <c r="M51" s="1" t="s">
        <v>62</v>
      </c>
      <c r="N51" s="74">
        <v>65886.028000000006</v>
      </c>
      <c r="O51" s="73">
        <v>0.74299999999999999</v>
      </c>
      <c r="P51" s="74">
        <f>N51*O51</f>
        <v>48953.318804000002</v>
      </c>
      <c r="Q51" s="72">
        <v>4895.33</v>
      </c>
    </row>
    <row r="52" spans="1:17" ht="12.75" x14ac:dyDescent="0.2">
      <c r="A52" s="1" t="s">
        <v>63</v>
      </c>
      <c r="B52" s="67">
        <v>23013144</v>
      </c>
      <c r="C52" s="68">
        <f>1114754.72/B52</f>
        <v>4.8439914163836112E-2</v>
      </c>
      <c r="D52" s="1"/>
      <c r="E52" s="1"/>
      <c r="F52" s="69"/>
      <c r="G52" s="1" t="s">
        <v>63</v>
      </c>
      <c r="H52" s="87">
        <v>288206</v>
      </c>
      <c r="I52" s="71">
        <f t="shared" si="9"/>
        <v>3.3027054606774318</v>
      </c>
      <c r="J52" s="72">
        <f t="shared" si="10"/>
        <v>951859.52999999991</v>
      </c>
      <c r="K52" s="72"/>
      <c r="L52" s="69"/>
      <c r="M52" s="1" t="s">
        <v>63</v>
      </c>
      <c r="N52" s="74">
        <v>68757.972999999998</v>
      </c>
      <c r="O52" s="76">
        <v>0.74299999999999999</v>
      </c>
      <c r="P52" s="74">
        <f t="shared" si="8"/>
        <v>51087.173939</v>
      </c>
      <c r="Q52" s="74">
        <v>5108.72</v>
      </c>
    </row>
    <row r="53" spans="1:17" ht="12.75" x14ac:dyDescent="0.2">
      <c r="A53" s="1" t="s">
        <v>64</v>
      </c>
      <c r="B53" s="67">
        <v>23057496</v>
      </c>
      <c r="C53" s="68">
        <f>735599.81/B53</f>
        <v>3.1902848860951773E-2</v>
      </c>
      <c r="D53" s="1"/>
      <c r="E53" s="1"/>
      <c r="F53" s="69"/>
      <c r="G53" s="1" t="s">
        <v>64</v>
      </c>
      <c r="H53" s="87">
        <v>307135</v>
      </c>
      <c r="I53" s="71">
        <f t="shared" si="9"/>
        <v>3.0951917560681785</v>
      </c>
      <c r="J53" s="72">
        <f>H37</f>
        <v>950641.72</v>
      </c>
      <c r="K53" s="72"/>
      <c r="L53" s="69"/>
      <c r="M53" s="1" t="s">
        <v>64</v>
      </c>
      <c r="N53" s="72">
        <v>69569.118000000002</v>
      </c>
      <c r="O53" s="73">
        <v>0.74299999999999999</v>
      </c>
      <c r="P53" s="74">
        <f t="shared" si="8"/>
        <v>51689.854674000002</v>
      </c>
      <c r="Q53" s="72">
        <v>5168.99</v>
      </c>
    </row>
    <row r="54" spans="1:17" x14ac:dyDescent="0.25">
      <c r="A54" s="2"/>
      <c r="B54" s="2"/>
      <c r="C54" s="2"/>
      <c r="D54" s="2"/>
      <c r="E54" s="2"/>
      <c r="F54" s="43"/>
      <c r="G54" s="2"/>
      <c r="H54" s="2"/>
      <c r="I54" s="2"/>
      <c r="J54" s="2"/>
      <c r="K54" s="2"/>
      <c r="L54" s="43"/>
      <c r="M54" s="2"/>
      <c r="N54" s="2"/>
      <c r="O54" s="2"/>
      <c r="P54" s="77"/>
      <c r="Q54" s="78"/>
    </row>
    <row r="55" spans="1:17" x14ac:dyDescent="0.25">
      <c r="A55" s="2"/>
      <c r="B55" s="2"/>
      <c r="C55" s="2"/>
      <c r="D55" s="2"/>
      <c r="E55" s="2"/>
      <c r="F55" s="43"/>
      <c r="G55" s="2"/>
      <c r="H55" s="2"/>
      <c r="I55" s="2"/>
      <c r="J55" s="2"/>
      <c r="K55" s="2"/>
      <c r="L55" s="43"/>
      <c r="M55" s="2"/>
      <c r="N55" s="2"/>
      <c r="O55" s="2"/>
      <c r="P55" s="77"/>
      <c r="Q55" s="78"/>
    </row>
    <row r="56" spans="1:17" x14ac:dyDescent="0.25">
      <c r="A56" s="79" t="s">
        <v>65</v>
      </c>
      <c r="B56" s="80">
        <f>AVERAGE(B42:B53)</f>
        <v>20052648</v>
      </c>
      <c r="C56" s="81">
        <f>AVERAGE(C42:C53)</f>
        <v>5.7567090171183159E-2</v>
      </c>
      <c r="D56" s="2"/>
      <c r="E56" s="2"/>
      <c r="F56" s="43"/>
      <c r="G56" s="79" t="s">
        <v>65</v>
      </c>
      <c r="H56" s="80">
        <f>AVERAGE(H42:H53)</f>
        <v>279805.91666666669</v>
      </c>
      <c r="I56" s="81">
        <f>AVERAGE(I42:I53)</f>
        <v>2.8163772873229362</v>
      </c>
      <c r="J56" s="82">
        <f t="shared" ref="J56:K56" si="11">AVERAGE(J42:J53)</f>
        <v>790863.25749999995</v>
      </c>
      <c r="K56" s="82">
        <f t="shared" si="11"/>
        <v>64093.369999999995</v>
      </c>
      <c r="L56" s="43"/>
      <c r="M56" s="79" t="s">
        <v>65</v>
      </c>
      <c r="N56" s="80">
        <f>AVERAGE(N42:N53)</f>
        <v>63780.840083333344</v>
      </c>
      <c r="O56" s="81">
        <f>AVERAGE(O42:O53)</f>
        <v>0.74300000000000022</v>
      </c>
      <c r="P56" s="82">
        <f t="shared" ref="P56:Q56" si="12">AVERAGE(P42:P53)</f>
        <v>47389.164181916662</v>
      </c>
      <c r="Q56" s="82">
        <f t="shared" si="12"/>
        <v>4738.8874999999998</v>
      </c>
    </row>
    <row r="57" spans="1:17" x14ac:dyDescent="0.25">
      <c r="A57" s="2"/>
      <c r="B57" s="2"/>
      <c r="C57" s="2"/>
      <c r="D57" s="2"/>
      <c r="E57" s="2"/>
      <c r="F57" s="43"/>
      <c r="G57" s="2"/>
      <c r="H57" s="2"/>
      <c r="I57" s="2"/>
      <c r="J57" s="2"/>
      <c r="K57" s="2"/>
      <c r="L57" s="43"/>
      <c r="M57" s="2"/>
      <c r="N57" s="2"/>
      <c r="O57" s="2"/>
      <c r="P57" s="77"/>
      <c r="Q57" s="3"/>
    </row>
    <row r="58" spans="1:17" x14ac:dyDescent="0.25">
      <c r="A58" s="2"/>
      <c r="B58" s="2"/>
      <c r="C58" s="2"/>
      <c r="D58" s="2"/>
      <c r="E58" s="2"/>
      <c r="F58" s="43"/>
      <c r="G58" s="88" t="s">
        <v>70</v>
      </c>
      <c r="H58" s="88"/>
      <c r="I58" s="88"/>
      <c r="J58" s="88"/>
      <c r="K58" s="2"/>
      <c r="L58" s="43"/>
      <c r="M58" s="2"/>
      <c r="N58" s="2"/>
      <c r="O58" s="2"/>
      <c r="P58" s="77"/>
      <c r="Q58" s="3"/>
    </row>
    <row r="59" spans="1:17" x14ac:dyDescent="0.25">
      <c r="A59" s="2"/>
      <c r="B59" s="2"/>
      <c r="C59" s="2"/>
      <c r="D59" s="2"/>
      <c r="E59" s="2"/>
      <c r="F59" s="43"/>
      <c r="G59" s="2"/>
      <c r="H59" s="2"/>
      <c r="I59" s="2"/>
      <c r="J59" s="2"/>
      <c r="K59" s="2"/>
      <c r="L59" s="43"/>
      <c r="M59" s="2"/>
      <c r="N59" s="2"/>
      <c r="O59" s="2"/>
      <c r="P59" s="2"/>
      <c r="Q59" s="3"/>
    </row>
    <row r="60" spans="1:17" x14ac:dyDescent="0.25">
      <c r="A60" s="2"/>
      <c r="B60" s="2"/>
      <c r="C60" s="2"/>
      <c r="D60" s="2"/>
      <c r="E60" s="2"/>
      <c r="F60" s="43"/>
      <c r="G60" s="2"/>
      <c r="H60" s="2"/>
      <c r="I60" s="2"/>
      <c r="J60" s="2"/>
      <c r="K60" s="2"/>
      <c r="L60" s="43"/>
      <c r="M60" s="2"/>
      <c r="N60" s="2"/>
      <c r="O60" s="2"/>
      <c r="P60" s="2"/>
      <c r="Q60" s="3"/>
    </row>
    <row r="61" spans="1:17" x14ac:dyDescent="0.25">
      <c r="A61" s="2"/>
      <c r="B61" s="2"/>
      <c r="C61" s="2"/>
      <c r="D61" s="2"/>
      <c r="E61" s="2"/>
      <c r="F61" s="43"/>
      <c r="G61" s="2"/>
      <c r="H61" s="2"/>
      <c r="I61" s="2"/>
      <c r="J61" s="2"/>
      <c r="K61" s="2"/>
      <c r="L61" s="43"/>
      <c r="M61" s="2"/>
      <c r="N61" s="2"/>
      <c r="O61" s="2"/>
      <c r="P61" s="2"/>
      <c r="Q61" s="3"/>
    </row>
    <row r="62" spans="1:17" x14ac:dyDescent="0.25">
      <c r="A62" s="2"/>
      <c r="B62" s="2"/>
      <c r="C62" s="2"/>
      <c r="D62" s="2"/>
      <c r="E62" s="2"/>
      <c r="F62" s="43"/>
      <c r="G62" s="2"/>
      <c r="H62" s="2"/>
      <c r="I62" s="2"/>
      <c r="J62" s="2"/>
      <c r="K62" s="2"/>
      <c r="L62" s="43"/>
      <c r="M62" s="2"/>
      <c r="N62" s="2"/>
      <c r="O62" s="2"/>
      <c r="P62" s="2"/>
      <c r="Q62" s="3"/>
    </row>
    <row r="63" spans="1:17" x14ac:dyDescent="0.25">
      <c r="A63" s="2"/>
      <c r="B63" s="2"/>
      <c r="C63" s="2"/>
      <c r="D63" s="2"/>
      <c r="E63" s="2"/>
      <c r="F63" s="43"/>
      <c r="G63" s="2"/>
      <c r="H63" s="2"/>
      <c r="I63" s="2"/>
      <c r="J63" s="2"/>
      <c r="K63" s="2"/>
      <c r="L63" s="43"/>
      <c r="M63" s="2"/>
      <c r="N63" s="2"/>
      <c r="O63" s="2"/>
      <c r="P63" s="2"/>
      <c r="Q63" s="3"/>
    </row>
    <row r="64" spans="1:17" x14ac:dyDescent="0.25">
      <c r="A64" s="83" t="s">
        <v>66</v>
      </c>
      <c r="B64" s="84">
        <f>SUM(B42:B44)/3</f>
        <v>16413936</v>
      </c>
      <c r="C64" s="68">
        <f>SUM(C42:C44)/3</f>
        <v>6.2293846362880011E-2</v>
      </c>
      <c r="D64" s="2"/>
      <c r="E64" s="2"/>
      <c r="F64" s="43"/>
      <c r="G64" s="83" t="s">
        <v>66</v>
      </c>
      <c r="H64" s="84">
        <f>SUM(H42:H44)/3</f>
        <v>302130</v>
      </c>
      <c r="I64" s="68">
        <f>SUM(I42:I44)/3</f>
        <v>2.9874562181475164</v>
      </c>
      <c r="J64" s="72">
        <f>SUM(J42:J44)/3</f>
        <v>896889.71666666667</v>
      </c>
      <c r="K64" s="72">
        <f>SUM(K42:K44)/3</f>
        <v>64272.833333333336</v>
      </c>
      <c r="L64" s="43"/>
      <c r="M64" s="83" t="s">
        <v>66</v>
      </c>
      <c r="N64" s="84">
        <f>SUM(N42:N44)/3</f>
        <v>55713.329999999994</v>
      </c>
      <c r="O64" s="68">
        <f>SUM(O42:O44)/3</f>
        <v>0.74299999999999999</v>
      </c>
      <c r="P64" s="72">
        <f>SUM(P42:P44)/3</f>
        <v>41395.00419</v>
      </c>
      <c r="Q64" s="72">
        <f>SUM(Q42:Q44)/3</f>
        <v>4139.5033333333331</v>
      </c>
    </row>
    <row r="65" spans="1:17" x14ac:dyDescent="0.25">
      <c r="A65" s="83" t="s">
        <v>67</v>
      </c>
      <c r="B65" s="84">
        <f>SUM(B45:B47)/3</f>
        <v>18025392</v>
      </c>
      <c r="C65" s="68">
        <f>SUM(C45:C47)/3</f>
        <v>6.9682585966182972E-2</v>
      </c>
      <c r="D65" s="2"/>
      <c r="E65" s="2"/>
      <c r="F65" s="43"/>
      <c r="G65" s="83" t="s">
        <v>67</v>
      </c>
      <c r="H65" s="84">
        <f>SUM(H45:H47)/3</f>
        <v>260569</v>
      </c>
      <c r="I65" s="68">
        <f>SUM(I45:I47)/3</f>
        <v>2.3234764687528306</v>
      </c>
      <c r="J65" s="72">
        <f>SUM(J45:J47)/3</f>
        <v>604478.67333333334</v>
      </c>
      <c r="K65" s="72">
        <f>SUM(K45:K47)/3</f>
        <v>63913.906666666669</v>
      </c>
      <c r="L65" s="43"/>
      <c r="M65" s="83" t="s">
        <v>67</v>
      </c>
      <c r="N65" s="84">
        <f>SUM(N45:N47)/3</f>
        <v>61134.642666666674</v>
      </c>
      <c r="O65" s="68">
        <f>SUM(O45:O47)/3</f>
        <v>0.74299999999999999</v>
      </c>
      <c r="P65" s="72">
        <f>SUM(P45:P47)/3</f>
        <v>45423.03950133334</v>
      </c>
      <c r="Q65" s="72">
        <f>SUM(Q45:Q47)/3</f>
        <v>4542.3033333333333</v>
      </c>
    </row>
    <row r="66" spans="1:17" x14ac:dyDescent="0.25">
      <c r="A66" s="83" t="s">
        <v>68</v>
      </c>
      <c r="B66" s="84">
        <f>SUM(B48:B50)/3</f>
        <v>22723008</v>
      </c>
      <c r="C66" s="68">
        <f>SUM(C48:C50)/3</f>
        <v>5.5244538541594196E-2</v>
      </c>
      <c r="D66" s="2"/>
      <c r="E66" s="2"/>
      <c r="F66" s="43"/>
      <c r="G66" s="83" t="s">
        <v>68</v>
      </c>
      <c r="H66" s="84">
        <f>SUM(H48:H50)/3</f>
        <v>255838</v>
      </c>
      <c r="I66" s="68">
        <f>SUM(I48:I50)/3</f>
        <v>2.9316186014796233</v>
      </c>
      <c r="J66" s="72">
        <f>SUM(J48:J50)/3</f>
        <v>754837.82333333336</v>
      </c>
      <c r="K66" s="72">
        <f>SUM(K48:K50)/3</f>
        <v>0</v>
      </c>
      <c r="L66" s="43"/>
      <c r="M66" s="83" t="s">
        <v>68</v>
      </c>
      <c r="N66" s="84">
        <f>SUM(N48:N50)/2</f>
        <v>105306.522</v>
      </c>
      <c r="O66" s="68">
        <f>SUM(O48:O50)/3</f>
        <v>0.74299999999999999</v>
      </c>
      <c r="P66" s="72">
        <f>SUM(P48:P50)/2</f>
        <v>78242.745846000005</v>
      </c>
      <c r="Q66" s="72">
        <f>SUM(Q48:Q50)/2</f>
        <v>7824.0950000000003</v>
      </c>
    </row>
    <row r="67" spans="1:17" x14ac:dyDescent="0.25">
      <c r="A67" s="83" t="s">
        <v>69</v>
      </c>
      <c r="B67" s="84">
        <f>SUM(B51:B53)/3</f>
        <v>23048256</v>
      </c>
      <c r="C67" s="68">
        <f>SUM(C51:C53)/3</f>
        <v>4.30473898140755E-2</v>
      </c>
      <c r="D67" s="2"/>
      <c r="E67" s="2"/>
      <c r="F67" s="43"/>
      <c r="G67" s="83" t="s">
        <v>69</v>
      </c>
      <c r="H67" s="84">
        <f>SUM(H51:H53)/3</f>
        <v>300686.66666666669</v>
      </c>
      <c r="I67" s="68">
        <f>SUM(I51:I53)/3</f>
        <v>3.022957860911776</v>
      </c>
      <c r="J67" s="72">
        <f t="shared" ref="J67:K67" si="13">SUM(J51:J53)/3</f>
        <v>907246.81666666677</v>
      </c>
      <c r="K67" s="72">
        <f t="shared" si="13"/>
        <v>0</v>
      </c>
      <c r="L67" s="43"/>
      <c r="M67" s="83" t="s">
        <v>69</v>
      </c>
      <c r="N67" s="84">
        <f>SUM(N51:N53)/3</f>
        <v>68071.039666666664</v>
      </c>
      <c r="O67" s="68">
        <f>SUM(O51:O53)/3</f>
        <v>0.74299999999999999</v>
      </c>
      <c r="P67" s="72">
        <f t="shared" ref="P67:Q67" si="14">SUM(P51:P53)/3</f>
        <v>50576.78247233334</v>
      </c>
      <c r="Q67" s="72">
        <f t="shared" si="14"/>
        <v>5057.6799999999994</v>
      </c>
    </row>
    <row r="69" spans="1:17" x14ac:dyDescent="0.25">
      <c r="H69" s="85"/>
    </row>
  </sheetData>
  <mergeCells count="2">
    <mergeCell ref="G2:J2"/>
    <mergeCell ref="A22:Q22"/>
  </mergeCells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Utility Analysis 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Hayden2</dc:creator>
  <cp:lastModifiedBy>Kristy Hayden2</cp:lastModifiedBy>
  <dcterms:created xsi:type="dcterms:W3CDTF">2020-02-18T15:19:37Z</dcterms:created>
  <dcterms:modified xsi:type="dcterms:W3CDTF">2020-02-18T15:39:50Z</dcterms:modified>
</cp:coreProperties>
</file>