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"/>
    </mc:Choice>
  </mc:AlternateContent>
  <xr:revisionPtr revIDLastSave="0" documentId="13_ncr:1_{7EDB8D7B-3D12-344B-A5AF-44E06542FA7C}" xr6:coauthVersionLast="36" xr6:coauthVersionMax="36" xr10:uidLastSave="{00000000-0000-0000-0000-000000000000}"/>
  <bookViews>
    <workbookView xWindow="1820" yWindow="1840" windowWidth="30560" windowHeight="17640" tabRatio="646" activeTab="2" xr2:uid="{00000000-000D-0000-FFFF-FFFF00000000}"/>
  </bookViews>
  <sheets>
    <sheet name="Particle standard curve" sheetId="6" r:id="rId1"/>
    <sheet name="Raw Plate Reader Measurements" sheetId="5" r:id="rId2"/>
    <sheet name="Equivalent Particle Count" sheetId="7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M27" i="7" l="1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7" i="6" l="1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H5" i="5"/>
  <c r="L8" i="6" l="1"/>
  <c r="D8" i="6"/>
  <c r="E8" i="6"/>
  <c r="G8" i="6"/>
  <c r="H8" i="6"/>
  <c r="I8" i="6"/>
  <c r="F8" i="6"/>
  <c r="J8" i="6"/>
  <c r="B8" i="6"/>
  <c r="K8" i="6"/>
  <c r="C8" i="6"/>
  <c r="H7" i="5"/>
  <c r="D3" i="7" l="1"/>
  <c r="G27" i="7" l="1"/>
  <c r="C26" i="7"/>
  <c r="G25" i="7"/>
  <c r="C24" i="7"/>
  <c r="G23" i="7"/>
  <c r="C22" i="7"/>
  <c r="G21" i="7"/>
  <c r="C20" i="7"/>
  <c r="B22" i="7"/>
  <c r="F21" i="7"/>
  <c r="B20" i="7"/>
  <c r="G26" i="7"/>
  <c r="G20" i="7"/>
  <c r="B23" i="7"/>
  <c r="E26" i="7"/>
  <c r="H25" i="7"/>
  <c r="F27" i="7"/>
  <c r="J26" i="7"/>
  <c r="B26" i="7"/>
  <c r="F25" i="7"/>
  <c r="J24" i="7"/>
  <c r="B24" i="7"/>
  <c r="F23" i="7"/>
  <c r="J22" i="7"/>
  <c r="J20" i="7"/>
  <c r="C25" i="7"/>
  <c r="C21" i="7"/>
  <c r="F20" i="7"/>
  <c r="I27" i="7"/>
  <c r="E20" i="7"/>
  <c r="H21" i="7"/>
  <c r="E27" i="7"/>
  <c r="I26" i="7"/>
  <c r="E25" i="7"/>
  <c r="I24" i="7"/>
  <c r="E23" i="7"/>
  <c r="I22" i="7"/>
  <c r="E21" i="7"/>
  <c r="I20" i="7"/>
  <c r="H24" i="7"/>
  <c r="D23" i="7"/>
  <c r="H20" i="7"/>
  <c r="G22" i="7"/>
  <c r="F24" i="7"/>
  <c r="B21" i="7"/>
  <c r="E22" i="7"/>
  <c r="D24" i="7"/>
  <c r="D27" i="7"/>
  <c r="H26" i="7"/>
  <c r="D25" i="7"/>
  <c r="H22" i="7"/>
  <c r="D21" i="7"/>
  <c r="C23" i="7"/>
  <c r="J23" i="7"/>
  <c r="I21" i="7"/>
  <c r="D26" i="7"/>
  <c r="D20" i="7"/>
  <c r="C27" i="7"/>
  <c r="G24" i="7"/>
  <c r="J21" i="7"/>
  <c r="I25" i="7"/>
  <c r="D22" i="7"/>
  <c r="J27" i="7"/>
  <c r="B27" i="7"/>
  <c r="F26" i="7"/>
  <c r="J25" i="7"/>
  <c r="B25" i="7"/>
  <c r="F22" i="7"/>
  <c r="I23" i="7"/>
  <c r="H27" i="7"/>
  <c r="H23" i="7"/>
  <c r="E24" i="7"/>
  <c r="B29" i="6" l="1"/>
  <c r="C1" i="6"/>
  <c r="D1" i="6" s="1"/>
  <c r="D29" i="6" s="1"/>
  <c r="C29" i="6" l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4" i="7" s="1"/>
  <c r="F28" i="6"/>
  <c r="K15" i="7" l="1"/>
  <c r="K14" i="7"/>
  <c r="K11" i="7"/>
  <c r="F9" i="7"/>
  <c r="F16" i="7"/>
  <c r="I12" i="7"/>
  <c r="I15" i="7"/>
  <c r="H10" i="7"/>
  <c r="E12" i="7"/>
  <c r="B12" i="7"/>
  <c r="G16" i="7"/>
  <c r="B10" i="7"/>
  <c r="C12" i="7"/>
  <c r="M11" i="7"/>
  <c r="I10" i="7"/>
  <c r="B11" i="7"/>
  <c r="H13" i="7"/>
  <c r="B14" i="7"/>
  <c r="J13" i="7"/>
  <c r="K9" i="7"/>
  <c r="D9" i="7"/>
  <c r="J15" i="7"/>
  <c r="K16" i="7"/>
  <c r="G13" i="7"/>
  <c r="I9" i="7"/>
  <c r="B9" i="7"/>
  <c r="L16" i="7"/>
  <c r="K12" i="7"/>
  <c r="M13" i="7"/>
  <c r="H9" i="7"/>
  <c r="G11" i="7"/>
  <c r="D13" i="7"/>
  <c r="J12" i="7"/>
  <c r="G9" i="7"/>
  <c r="G10" i="7"/>
  <c r="F10" i="7"/>
  <c r="B16" i="7"/>
  <c r="J10" i="7"/>
  <c r="F15" i="7"/>
  <c r="F11" i="7"/>
  <c r="D11" i="7"/>
  <c r="D10" i="7"/>
  <c r="E11" i="7"/>
  <c r="H16" i="7"/>
  <c r="I13" i="7"/>
  <c r="L13" i="7"/>
  <c r="E14" i="7"/>
  <c r="C10" i="7"/>
  <c r="L9" i="7"/>
  <c r="D12" i="7"/>
  <c r="B13" i="7"/>
  <c r="M16" i="7"/>
  <c r="L14" i="7"/>
  <c r="K10" i="7"/>
  <c r="E13" i="7"/>
  <c r="H15" i="7"/>
  <c r="C15" i="7"/>
  <c r="H12" i="7"/>
  <c r="G15" i="7"/>
  <c r="D16" i="7"/>
  <c r="H11" i="7"/>
  <c r="F14" i="7"/>
  <c r="B15" i="7"/>
  <c r="C16" i="7"/>
  <c r="L10" i="7"/>
  <c r="J16" i="7"/>
  <c r="L15" i="7"/>
  <c r="H14" i="7"/>
  <c r="D15" i="7"/>
  <c r="G12" i="7"/>
  <c r="E9" i="7"/>
  <c r="C11" i="7"/>
  <c r="J11" i="7"/>
  <c r="G14" i="7"/>
  <c r="I14" i="7"/>
  <c r="M14" i="7"/>
  <c r="L12" i="7"/>
  <c r="M15" i="7"/>
  <c r="E10" i="7"/>
  <c r="C14" i="7"/>
  <c r="C13" i="7"/>
  <c r="J9" i="7"/>
  <c r="I16" i="7"/>
  <c r="C9" i="7"/>
  <c r="D14" i="7"/>
  <c r="F12" i="7"/>
  <c r="K13" i="7"/>
  <c r="I11" i="7"/>
  <c r="M9" i="7"/>
  <c r="F13" i="7"/>
  <c r="E15" i="7"/>
  <c r="L11" i="7"/>
  <c r="E16" i="7"/>
  <c r="J14" i="7"/>
  <c r="M12" i="7"/>
  <c r="M10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<sst xmlns="http://schemas.openxmlformats.org/spreadsheetml/2006/main" count="89" uniqueCount="67">
  <si>
    <t>Replicate 1</t>
  </si>
  <si>
    <t>Replicate 2</t>
  </si>
  <si>
    <t>Replicate 3</t>
  </si>
  <si>
    <t>Replicate 4</t>
  </si>
  <si>
    <t>Arith. Mean</t>
  </si>
  <si>
    <t>Gold cells are calculated</t>
  </si>
  <si>
    <t>Arith. Std.Dev.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</si>
  <si>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</si>
  <si>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</si>
  <si>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</si>
  <si>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</si>
  <si>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</si>
  <si>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</si>
  <si>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</si>
  <si>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</si>
  <si>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If needed, you can shift which points are used, but it is likely better to correct instrument settings and protocol.</t>
  </si>
  <si>
    <t>Raw Plate Readings</t>
  </si>
  <si>
    <t>Abs600 Raw Readings:</t>
  </si>
  <si>
    <t>Number of Particles</t>
  </si>
  <si>
    <t>Enter Abs600 measurements into blue cells</t>
  </si>
  <si>
    <t>Mean particles / Abs600</t>
  </si>
  <si>
    <t>Particles / Abs600</t>
  </si>
  <si>
    <t>Net Abs 600</t>
  </si>
  <si>
    <t>Spheres/gram</t>
  </si>
  <si>
    <t>Cospheric Monodisperse Silica Microspheres 0.961um diameter</t>
  </si>
  <si>
    <t>grams/mL</t>
  </si>
  <si>
    <t>Resuspend volume mL:</t>
  </si>
  <si>
    <t>Arith. Net Mean</t>
  </si>
  <si>
    <t>Well volume (mL)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</si>
  <si>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</si>
  <si>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</si>
  <si>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</si>
  <si>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</si>
  <si>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</si>
  <si>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</si>
  <si>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</si>
  <si>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</si>
  <si>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</si>
  <si>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</si>
  <si>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</si>
  <si>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</si>
  <si>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</si>
  <si>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</si>
  <si>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</si>
  <si>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</si>
  <si>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</si>
  <si>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</si>
  <si>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</si>
  <si>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</si>
  <si>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</si>
  <si>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</si>
  <si>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</si>
  <si>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</si>
  <si>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</si>
  <si>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</si>
  <si>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</si>
  <si>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Media Blank Control Wells:</t>
  </si>
  <si>
    <t>Identify the plate wells containing your media blank controls in the blue cells; the ranges will be calculated in gold and highlighted in green eblow</t>
  </si>
  <si>
    <t>Abs600 blank mean:</t>
  </si>
  <si>
    <t>Calculated values imported from prior sheets</t>
  </si>
  <si>
    <t>Calibration ready?</t>
  </si>
  <si>
    <t>Initial particles / well:</t>
  </si>
  <si>
    <t>Copy Abs600 measurements from your plate reader into the blue and green cells of the plate rectangles</t>
  </si>
  <si>
    <t>They will automatically propagate into the correct locations in the particle count sheet</t>
  </si>
  <si>
    <t>Equivalent particle count:</t>
  </si>
  <si>
    <t>100 uL from tube + 900 ddH20</t>
  </si>
  <si>
    <t>Enter Abs600 measurements into blue cells on "Raw Plate Reader Measurements"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</si>
</sst>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3" borderId="3" xfId="0" applyNumberForma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6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9.9993333111096289E-2</c:v>
                  </c:pt>
                  <c:pt idx="1">
                    <c:v>7.7858846639286994E-2</c:v>
                  </c:pt>
                  <c:pt idx="2">
                    <c:v>4.1737273509418221E-2</c:v>
                  </c:pt>
                  <c:pt idx="3">
                    <c:v>1.5577761927397233E-2</c:v>
                  </c:pt>
                  <c:pt idx="4">
                    <c:v>3.8169577763798576E-2</c:v>
                  </c:pt>
                  <c:pt idx="5">
                    <c:v>1.6337584480781313E-2</c:v>
                  </c:pt>
                  <c:pt idx="6">
                    <c:v>2.5166114784235831E-3</c:v>
                  </c:pt>
                  <c:pt idx="7">
                    <c:v>5.9999999999999984E-3</c:v>
                  </c:pt>
                  <c:pt idx="8">
                    <c:v>5.795112883571236E-3</c:v>
                  </c:pt>
                  <c:pt idx="9">
                    <c:v>6.4549722436790273E-3</c:v>
                  </c:pt>
                  <c:pt idx="10">
                    <c:v>1.7078251276599345E-3</c:v>
                  </c:pt>
                  <c:pt idx="11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  <c:pt idx="11">
                  <c:v>3.925E-2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1.0309999999999999</c:v>
                </c:pt>
                <c:pt idx="1">
                  <c:v>0.47600000000000003</c:v>
                </c:pt>
                <c:pt idx="2">
                  <c:v>0.28500000000000003</c:v>
                </c:pt>
                <c:pt idx="3">
                  <c:v>0.14899999999999999</c:v>
                </c:pt>
                <c:pt idx="4">
                  <c:v>9.9750000000000005E-2</c:v>
                </c:pt>
                <c:pt idx="5">
                  <c:v>6.7750000000000005E-2</c:v>
                </c:pt>
                <c:pt idx="6">
                  <c:v>4.9500000000000002E-2</c:v>
                </c:pt>
                <c:pt idx="7">
                  <c:v>4.5000000000000005E-2</c:v>
                </c:pt>
                <c:pt idx="8">
                  <c:v>4.6249999999999999E-2</c:v>
                </c:pt>
                <c:pt idx="9">
                  <c:v>4.3500000000000004E-2</c:v>
                </c:pt>
                <c:pt idx="10">
                  <c:v>3.875E-2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P7" sqref="P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18</v>
      </c>
      <c r="B1" s="15">
        <f>T30</f>
        <v>300000000</v>
      </c>
      <c r="C1" s="15">
        <f>B1/2</f>
        <v>150000000</v>
      </c>
      <c r="D1" s="15">
        <f>C1/2</f>
        <v>75000000</v>
      </c>
      <c r="E1" s="15">
        <f>D1/2</f>
        <v>37500000</v>
      </c>
      <c r="F1" s="15">
        <f t="shared" ref="F1:L1" si="0">E1/2</f>
        <v>18750000</v>
      </c>
      <c r="G1" s="15">
        <f t="shared" si="0"/>
        <v>9375000</v>
      </c>
      <c r="H1" s="15">
        <f t="shared" si="0"/>
        <v>4687500</v>
      </c>
      <c r="I1" s="15">
        <f t="shared" si="0"/>
        <v>2343750</v>
      </c>
      <c r="J1" s="15">
        <f t="shared" si="0"/>
        <v>1171875</v>
      </c>
      <c r="K1" s="15">
        <f t="shared" si="0"/>
        <v>585937.5</v>
      </c>
      <c r="L1" s="15">
        <f t="shared" si="0"/>
        <v>292968.75</v>
      </c>
      <c r="M1" s="1">
        <v>0</v>
      </c>
    </row>
    <row r="2" spans="1:17" x14ac:dyDescent="0.2">
      <c r="A2" t="s">
        <v>0</v>
      </c>
      <c r="B2" s="16">
        <v>1.1639999999999999</v>
      </c>
      <c r="C2" s="16">
        <v>0.53</v>
      </c>
      <c r="D2" s="16">
        <v>0.308</v>
      </c>
      <c r="E2" s="16">
        <v>0.14899999999999999</v>
      </c>
      <c r="F2" s="16">
        <v>8.1000000000000003E-2</v>
      </c>
      <c r="G2" s="16">
        <v>9.1999999999999998E-2</v>
      </c>
      <c r="H2" s="16">
        <v>5.1999999999999998E-2</v>
      </c>
      <c r="I2" s="16">
        <v>4.2000000000000003E-2</v>
      </c>
      <c r="J2" s="16">
        <v>4.5999999999999999E-2</v>
      </c>
      <c r="K2" s="16">
        <v>4.2000000000000003E-2</v>
      </c>
      <c r="L2" s="16">
        <v>3.7999999999999999E-2</v>
      </c>
      <c r="M2" s="16">
        <v>0.04</v>
      </c>
      <c r="O2" s="7" t="s">
        <v>19</v>
      </c>
    </row>
    <row r="3" spans="1:17" x14ac:dyDescent="0.2">
      <c r="A3" t="s">
        <v>1</v>
      </c>
      <c r="B3" s="16">
        <v>0.95199999999999996</v>
      </c>
      <c r="C3" s="16">
        <v>0.55300000000000005</v>
      </c>
      <c r="D3" s="16">
        <v>0.27500000000000002</v>
      </c>
      <c r="E3" s="16">
        <v>0.151</v>
      </c>
      <c r="F3" s="16">
        <v>8.1000000000000003E-2</v>
      </c>
      <c r="G3" s="16">
        <v>5.8000000000000003E-2</v>
      </c>
      <c r="H3" s="16">
        <v>0.05</v>
      </c>
      <c r="I3" s="16">
        <v>5.3999999999999999E-2</v>
      </c>
      <c r="J3" s="16">
        <v>0.04</v>
      </c>
      <c r="K3" s="16">
        <v>5.2999999999999999E-2</v>
      </c>
      <c r="L3" s="16">
        <v>3.6999999999999998E-2</v>
      </c>
      <c r="M3" s="16">
        <v>3.6999999999999998E-2</v>
      </c>
      <c r="O3" s="7" t="s">
        <v>5</v>
      </c>
    </row>
    <row r="4" spans="1:17" x14ac:dyDescent="0.2">
      <c r="A4" t="s">
        <v>2</v>
      </c>
      <c r="B4" s="16">
        <v>0.95599999999999996</v>
      </c>
      <c r="C4" s="16">
        <v>0.39100000000000001</v>
      </c>
      <c r="D4" s="16">
        <v>0.32600000000000001</v>
      </c>
      <c r="E4" s="16">
        <v>0.16700000000000001</v>
      </c>
      <c r="F4" s="16">
        <v>0.08</v>
      </c>
      <c r="G4" s="16">
        <v>5.8000000000000003E-2</v>
      </c>
      <c r="H4" s="16">
        <v>4.5999999999999999E-2</v>
      </c>
      <c r="I4" s="16">
        <v>4.2000000000000003E-2</v>
      </c>
      <c r="J4" s="16">
        <v>5.3999999999999999E-2</v>
      </c>
      <c r="K4" s="16">
        <v>3.9E-2</v>
      </c>
      <c r="L4" s="16">
        <v>4.1000000000000002E-2</v>
      </c>
      <c r="M4" s="16">
        <v>0.04</v>
      </c>
    </row>
    <row r="5" spans="1:17" x14ac:dyDescent="0.2">
      <c r="A5" t="s">
        <v>3</v>
      </c>
      <c r="B5" s="16">
        <v>1.052</v>
      </c>
      <c r="C5" s="16">
        <v>0.43</v>
      </c>
      <c r="D5" s="16">
        <v>0.23100000000000001</v>
      </c>
      <c r="E5" s="16">
        <v>0.129</v>
      </c>
      <c r="F5" s="16">
        <v>0.157</v>
      </c>
      <c r="G5" s="16">
        <v>6.3E-2</v>
      </c>
      <c r="H5" s="16">
        <v>0.05</v>
      </c>
      <c r="I5" s="16">
        <v>4.2000000000000003E-2</v>
      </c>
      <c r="J5" s="16">
        <v>4.4999999999999998E-2</v>
      </c>
      <c r="K5" s="16">
        <v>0.04</v>
      </c>
      <c r="L5" s="16">
        <v>3.9E-2</v>
      </c>
      <c r="M5" s="16">
        <v>0.04</v>
      </c>
      <c r="O5" s="3"/>
    </row>
    <row r="6" spans="1:17" x14ac:dyDescent="0.2">
      <c r="A6" t="s">
        <v>4</v>
      </c>
      <c r="B6" s="20">
        <f t="shared" ref="B6:M6" si="1">IF(COUNTA(B2:B5)&gt;0,AVERAGE(B2:B5),"---")</f>
        <v>1.0309999999999999</v>
      </c>
      <c r="C6" s="20">
        <f t="shared" si="1"/>
        <v>0.47600000000000003</v>
      </c>
      <c r="D6" s="20">
        <f t="shared" si="1"/>
        <v>0.28500000000000003</v>
      </c>
      <c r="E6" s="20">
        <f t="shared" si="1"/>
        <v>0.14899999999999999</v>
      </c>
      <c r="F6" s="20">
        <f t="shared" si="1"/>
        <v>9.9750000000000005E-2</v>
      </c>
      <c r="G6" s="20">
        <f t="shared" si="1"/>
        <v>6.7750000000000005E-2</v>
      </c>
      <c r="H6" s="20">
        <f t="shared" si="1"/>
        <v>4.9500000000000002E-2</v>
      </c>
      <c r="I6" s="20">
        <f t="shared" si="1"/>
        <v>4.5000000000000005E-2</v>
      </c>
      <c r="J6" s="20">
        <f t="shared" si="1"/>
        <v>4.6249999999999999E-2</v>
      </c>
      <c r="K6" s="20">
        <f t="shared" si="1"/>
        <v>4.3500000000000004E-2</v>
      </c>
      <c r="L6" s="20">
        <f t="shared" si="1"/>
        <v>3.875E-2</v>
      </c>
      <c r="M6" s="20">
        <f t="shared" si="1"/>
        <v>3.925E-2</v>
      </c>
    </row>
    <row r="7" spans="1:17" x14ac:dyDescent="0.2">
      <c r="A7" t="s">
        <v>6</v>
      </c>
      <c r="B7" s="20">
        <f t="shared" ref="B7:M7" si="2">IF(COUNTA(B2:B5)&gt;0,STDEV(B2:B5),"---")</f>
        <v>9.9993333111096289E-2</v>
      </c>
      <c r="C7" s="20">
        <f t="shared" si="2"/>
        <v>7.7858846639286994E-2</v>
      </c>
      <c r="D7" s="20">
        <f t="shared" si="2"/>
        <v>4.1737273509418221E-2</v>
      </c>
      <c r="E7" s="20">
        <f t="shared" si="2"/>
        <v>1.5577761927397233E-2</v>
      </c>
      <c r="F7" s="20">
        <f t="shared" si="2"/>
        <v>3.8169577763798576E-2</v>
      </c>
      <c r="G7" s="20">
        <f t="shared" si="2"/>
        <v>1.6337584480781313E-2</v>
      </c>
      <c r="H7" s="20">
        <f t="shared" si="2"/>
        <v>2.5166114784235831E-3</v>
      </c>
      <c r="I7" s="20">
        <f t="shared" si="2"/>
        <v>5.9999999999999984E-3</v>
      </c>
      <c r="J7" s="20">
        <f t="shared" si="2"/>
        <v>5.795112883571236E-3</v>
      </c>
      <c r="K7" s="20">
        <f t="shared" si="2"/>
        <v>6.4549722436790273E-3</v>
      </c>
      <c r="L7" s="20">
        <f t="shared" si="2"/>
        <v>1.7078251276599345E-3</v>
      </c>
      <c r="M7" s="20">
        <f t="shared" si="2"/>
        <v>1.5000000000000013E-3</v>
      </c>
    </row>
    <row r="8" spans="1:17" x14ac:dyDescent="0.2">
      <c r="A8" t="s">
        <v>27</v>
      </c>
      <c r="B8" s="20">
        <f t="shared" ref="B8:L8" si="3">IF(AND(ISNUMBER(B6),ISNUMBER($M6)),B6-$M6,"---")</f>
        <v>0.99174999999999991</v>
      </c>
      <c r="C8" s="20">
        <f t="shared" si="3"/>
        <v>0.43675000000000003</v>
      </c>
      <c r="D8" s="20">
        <f t="shared" si="3"/>
        <v>0.24575000000000002</v>
      </c>
      <c r="E8" s="20">
        <f t="shared" si="3"/>
        <v>0.10974999999999999</v>
      </c>
      <c r="F8" s="20">
        <f t="shared" si="3"/>
        <v>6.0500000000000005E-2</v>
      </c>
      <c r="G8" s="20">
        <f t="shared" si="3"/>
        <v>2.8500000000000004E-2</v>
      </c>
      <c r="H8" s="20">
        <f t="shared" si="3"/>
        <v>1.0250000000000002E-2</v>
      </c>
      <c r="I8" s="20">
        <f t="shared" si="3"/>
        <v>5.7500000000000051E-3</v>
      </c>
      <c r="J8" s="20">
        <f t="shared" si="3"/>
        <v>6.9999999999999993E-3</v>
      </c>
      <c r="K8" s="20">
        <f t="shared" si="3"/>
        <v>4.2500000000000038E-3</v>
      </c>
      <c r="L8" s="20">
        <f t="shared" si="3"/>
        <v>-5.0000000000000044E-4</v>
      </c>
      <c r="M8" s="18"/>
    </row>
    <row r="12" spans="1:17" x14ac:dyDescent="0.2">
      <c r="Q12" s="7" t="s">
        <v>7</v>
      </c>
    </row>
    <row r="13" spans="1:17" x14ac:dyDescent="0.2">
      <c r="Q13" s="7" t="s">
        <v>8</v>
      </c>
    </row>
    <row r="14" spans="1:17" x14ac:dyDescent="0.2">
      <c r="Q14" s="7" t="s">
        <v>9</v>
      </c>
    </row>
    <row r="15" spans="1:17" x14ac:dyDescent="0.2">
      <c r="Q15" s="7" t="s">
        <v>10</v>
      </c>
    </row>
    <row r="16" spans="1:17" x14ac:dyDescent="0.2">
      <c r="Q16" s="7" t="s">
        <v>11</v>
      </c>
    </row>
    <row r="20" spans="1:21" x14ac:dyDescent="0.2">
      <c r="R20" s="12" t="s">
        <v>24</v>
      </c>
    </row>
    <row r="21" spans="1:21" x14ac:dyDescent="0.2">
      <c r="R21" s="23" t="s">
        <v>39</v>
      </c>
    </row>
    <row r="22" spans="1:21" x14ac:dyDescent="0.2">
      <c r="R22" t="s">
        <v>23</v>
      </c>
      <c r="T22" s="2">
        <v>1200000000000</v>
      </c>
      <c r="U22" s="25" t="s">
        <v>40</v>
      </c>
    </row>
    <row r="23" spans="1:21" x14ac:dyDescent="0.2">
      <c r="R23" t="s">
        <v>25</v>
      </c>
      <c r="T23" s="24">
        <f>2</f>
        <v>2</v>
      </c>
      <c r="U23" s="25" t="s">
        <v>40</v>
      </c>
    </row>
    <row r="24" spans="1:21" x14ac:dyDescent="0.2">
      <c r="R24" t="s">
        <v>41</v>
      </c>
      <c r="T24" s="2">
        <f>0.5*T23*T22</f>
        <v>1200000000000</v>
      </c>
      <c r="U24" s="25" t="s">
        <v>42</v>
      </c>
    </row>
    <row r="25" spans="1:21" x14ac:dyDescent="0.2">
      <c r="R25" t="s">
        <v>26</v>
      </c>
      <c r="T25">
        <v>40</v>
      </c>
      <c r="U25" s="25" t="s">
        <v>43</v>
      </c>
    </row>
    <row r="26" spans="1:21" x14ac:dyDescent="0.2">
      <c r="R26" t="s">
        <v>45</v>
      </c>
      <c r="T26" s="2">
        <f>T24/T25</f>
        <v>30000000000</v>
      </c>
      <c r="U26" s="25" t="s">
        <v>48</v>
      </c>
    </row>
    <row r="27" spans="1:21" x14ac:dyDescent="0.2">
      <c r="A27" t="s">
        <v>21</v>
      </c>
      <c r="R27" t="s">
        <v>44</v>
      </c>
      <c r="T27" s="19">
        <f>1/0.1</f>
        <v>10</v>
      </c>
      <c r="U27" s="25" t="s">
        <v>65</v>
      </c>
    </row>
    <row r="28" spans="1:21" x14ac:dyDescent="0.2">
      <c r="A28" s="4" t="s">
        <v>18</v>
      </c>
      <c r="B28" s="15">
        <f>B1</f>
        <v>300000000</v>
      </c>
      <c r="C28" s="15">
        <f t="shared" ref="C28:L28" si="4">C1</f>
        <v>150000000</v>
      </c>
      <c r="D28" s="15">
        <f t="shared" si="4"/>
        <v>75000000</v>
      </c>
      <c r="E28" s="15">
        <f t="shared" si="4"/>
        <v>37500000</v>
      </c>
      <c r="F28" s="15">
        <f t="shared" si="4"/>
        <v>18750000</v>
      </c>
      <c r="G28" s="15">
        <f t="shared" si="4"/>
        <v>9375000</v>
      </c>
      <c r="H28" s="15">
        <f t="shared" si="4"/>
        <v>4687500</v>
      </c>
      <c r="I28" s="15">
        <f t="shared" si="4"/>
        <v>2343750</v>
      </c>
      <c r="J28" s="15">
        <f t="shared" si="4"/>
        <v>1171875</v>
      </c>
      <c r="K28" s="15">
        <f t="shared" si="4"/>
        <v>585937.5</v>
      </c>
      <c r="L28" s="15">
        <f t="shared" si="4"/>
        <v>292968.75</v>
      </c>
      <c r="R28" t="s">
        <v>46</v>
      </c>
      <c r="T28" s="2">
        <f>T26/T27</f>
        <v>3000000000</v>
      </c>
      <c r="U28" s="25" t="s">
        <v>49</v>
      </c>
    </row>
    <row r="29" spans="1:21" x14ac:dyDescent="0.2">
      <c r="A29" t="s">
        <v>20</v>
      </c>
      <c r="B29" s="11">
        <f>IF(ISNUMBER(B8),B1/B8,"---")</f>
        <v>302495588.60599953</v>
      </c>
      <c r="C29" s="11">
        <f t="shared" ref="C29:L29" si="5">IF(ISNUMBER(C8),C1/C8,"---")</f>
        <v>343445907.26960504</v>
      </c>
      <c r="D29" s="11">
        <f t="shared" si="5"/>
        <v>305188199.38962358</v>
      </c>
      <c r="E29" s="11">
        <f t="shared" si="5"/>
        <v>341685649.20273352</v>
      </c>
      <c r="F29" s="11">
        <f t="shared" si="5"/>
        <v>309917355.3719008</v>
      </c>
      <c r="G29" s="11">
        <f t="shared" si="5"/>
        <v>328947368.42105258</v>
      </c>
      <c r="H29" s="11">
        <f t="shared" si="5"/>
        <v>457317073.1707316</v>
      </c>
      <c r="I29" s="11">
        <f t="shared" si="5"/>
        <v>407608695.65217358</v>
      </c>
      <c r="J29" s="11">
        <f t="shared" si="5"/>
        <v>167410714.2857143</v>
      </c>
      <c r="K29" s="11">
        <f t="shared" si="5"/>
        <v>137867647.05882341</v>
      </c>
      <c r="L29" s="11">
        <f t="shared" si="5"/>
        <v>-585937499.99999952</v>
      </c>
      <c r="R29" t="s">
        <v>28</v>
      </c>
      <c r="T29">
        <f>0.1</f>
        <v>0.1</v>
      </c>
      <c r="U29" s="25" t="s">
        <v>47</v>
      </c>
    </row>
    <row r="30" spans="1:21" x14ac:dyDescent="0.2">
      <c r="A30" t="s">
        <v>12</v>
      </c>
      <c r="B30" s="2"/>
      <c r="C30" s="11">
        <f>IF(COUNT(C29:G29)&gt;0,AVERAGE(C29:G29),"---")</f>
        <v>325836895.93098307</v>
      </c>
      <c r="D30" s="2"/>
      <c r="E30" s="2"/>
      <c r="F30" s="2"/>
      <c r="G30" s="2"/>
      <c r="H30" s="2"/>
      <c r="I30" s="2"/>
      <c r="J30" s="2"/>
      <c r="K30" s="2"/>
      <c r="L30" s="2"/>
      <c r="R30" t="s">
        <v>61</v>
      </c>
      <c r="T30" s="2">
        <f>T28*T29</f>
        <v>300000000</v>
      </c>
      <c r="U30" s="25" t="s">
        <v>50</v>
      </c>
    </row>
    <row r="31" spans="1:21" x14ac:dyDescent="0.2">
      <c r="B31" s="2"/>
      <c r="C31" s="10" t="s">
        <v>38</v>
      </c>
      <c r="D31" s="2"/>
      <c r="E31" s="2"/>
      <c r="F31" s="2"/>
      <c r="G31" s="2"/>
      <c r="H31" s="2"/>
      <c r="U31" s="25"/>
    </row>
    <row r="32" spans="1:21" x14ac:dyDescent="0.2">
      <c r="B32" s="2"/>
      <c r="C32" s="10" t="s">
        <v>15</v>
      </c>
      <c r="D32" s="2"/>
      <c r="E32" s="2"/>
      <c r="F32" s="2"/>
      <c r="G32" s="2"/>
      <c r="H32" s="2"/>
      <c r="T32" s="2"/>
      <c r="U32" s="25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D34" s="2"/>
      <c r="E34" s="2"/>
      <c r="F34" s="2"/>
      <c r="G34" s="2"/>
      <c r="H34" s="2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G6" sqref="G6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9" t="s">
        <v>16</v>
      </c>
      <c r="E1" s="7" t="s">
        <v>62</v>
      </c>
    </row>
    <row r="2" spans="1:13" x14ac:dyDescent="0.2">
      <c r="E2" s="7" t="s">
        <v>63</v>
      </c>
    </row>
    <row r="4" spans="1:13" ht="16" x14ac:dyDescent="0.2">
      <c r="A4" s="13" t="s">
        <v>56</v>
      </c>
      <c r="D4" s="7" t="s">
        <v>57</v>
      </c>
    </row>
    <row r="5" spans="1:13" x14ac:dyDescent="0.2">
      <c r="A5" t="s">
        <v>51</v>
      </c>
      <c r="D5" s="22" t="s">
        <v>30</v>
      </c>
      <c r="F5" t="s">
        <v>55</v>
      </c>
      <c r="H5" s="30" t="str">
        <f ca="1">CONCATENATE(ADDRESS(COLUMN(INDIRECT((D5)&amp;1))+11,D6+1,4),":",ADDRESS(COLUMN(INDIRECT((D7)&amp;1))+11,D8+1,4))</f>
        <v>J12:J19</v>
      </c>
    </row>
    <row r="6" spans="1:13" x14ac:dyDescent="0.2">
      <c r="A6" t="s">
        <v>52</v>
      </c>
      <c r="D6" s="22">
        <v>9</v>
      </c>
    </row>
    <row r="7" spans="1:13" x14ac:dyDescent="0.2">
      <c r="A7" t="s">
        <v>53</v>
      </c>
      <c r="D7" s="22" t="s">
        <v>37</v>
      </c>
      <c r="F7" t="s">
        <v>58</v>
      </c>
      <c r="H7" s="26">
        <f ca="1">IF(COUNTA(INDIRECT(H5))&gt;0,AVERAGE(INDIRECT(H5)),"---")</f>
        <v>3.7874999999999999E-2</v>
      </c>
      <c r="L7" s="27"/>
    </row>
    <row r="8" spans="1:13" x14ac:dyDescent="0.2">
      <c r="A8" t="s">
        <v>54</v>
      </c>
      <c r="D8" s="22">
        <v>9</v>
      </c>
    </row>
    <row r="10" spans="1:13" ht="16" x14ac:dyDescent="0.2">
      <c r="A10" s="13" t="s">
        <v>17</v>
      </c>
    </row>
    <row r="11" spans="1:13" x14ac:dyDescent="0.2">
      <c r="A11" s="12"/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2" spans="1:13" x14ac:dyDescent="0.2">
      <c r="A12" s="21" t="s">
        <v>30</v>
      </c>
      <c r="B12" s="22">
        <v>0.71</v>
      </c>
      <c r="C12" s="22">
        <v>0.69699999999999995</v>
      </c>
      <c r="D12" s="22">
        <v>0.32500000000000001</v>
      </c>
      <c r="E12" s="22">
        <v>0.63</v>
      </c>
      <c r="F12" s="22">
        <v>0.63900000000000001</v>
      </c>
      <c r="G12" s="22">
        <v>0.66900000000000004</v>
      </c>
      <c r="H12" s="22">
        <v>0.215</v>
      </c>
      <c r="I12" s="22">
        <v>0.59399999999999997</v>
      </c>
      <c r="J12" s="22">
        <v>3.7999999999999999E-2</v>
      </c>
      <c r="K12" s="22"/>
      <c r="L12" s="22"/>
      <c r="M12" s="22"/>
    </row>
    <row r="13" spans="1:13" x14ac:dyDescent="0.2">
      <c r="A13" s="21" t="s">
        <v>31</v>
      </c>
      <c r="B13" s="22">
        <v>0.74399999999999999</v>
      </c>
      <c r="C13" s="22">
        <v>0.70199999999999996</v>
      </c>
      <c r="D13" s="22">
        <v>0.39200000000000002</v>
      </c>
      <c r="E13" s="22">
        <v>0.69399999999999995</v>
      </c>
      <c r="F13" s="22">
        <v>0.66800000000000004</v>
      </c>
      <c r="G13" s="22">
        <v>0.59399999999999997</v>
      </c>
      <c r="H13" s="22">
        <v>0.188</v>
      </c>
      <c r="I13" s="22">
        <v>0.59</v>
      </c>
      <c r="J13" s="22">
        <v>3.9E-2</v>
      </c>
      <c r="K13" s="22"/>
      <c r="L13" s="22"/>
      <c r="M13" s="22"/>
    </row>
    <row r="14" spans="1:13" x14ac:dyDescent="0.2">
      <c r="A14" s="21" t="s">
        <v>32</v>
      </c>
      <c r="B14" s="22">
        <v>0.72799999999999998</v>
      </c>
      <c r="C14" s="22">
        <v>0.72299999999999998</v>
      </c>
      <c r="D14" s="22">
        <v>0.34799999999999998</v>
      </c>
      <c r="E14" s="22">
        <v>0.64200000000000002</v>
      </c>
      <c r="F14" s="22">
        <v>0.57099999999999995</v>
      </c>
      <c r="G14" s="22">
        <v>0.59099999999999997</v>
      </c>
      <c r="H14" s="22">
        <v>0.17899999999999999</v>
      </c>
      <c r="I14" s="22">
        <v>0.54400000000000004</v>
      </c>
      <c r="J14" s="22">
        <v>3.5999999999999997E-2</v>
      </c>
      <c r="K14" s="22"/>
      <c r="L14" s="22"/>
      <c r="M14" s="22"/>
    </row>
    <row r="15" spans="1:13" x14ac:dyDescent="0.2">
      <c r="A15" s="21" t="s">
        <v>33</v>
      </c>
      <c r="B15" s="22">
        <v>0.70899999999999996</v>
      </c>
      <c r="C15" s="22">
        <v>0.70599999999999996</v>
      </c>
      <c r="D15" s="22">
        <v>0.34399999999999997</v>
      </c>
      <c r="E15" s="22">
        <v>0.60099999999999998</v>
      </c>
      <c r="F15" s="22">
        <v>0.59199999999999997</v>
      </c>
      <c r="G15" s="22">
        <v>0.54</v>
      </c>
      <c r="H15" s="22">
        <v>0.17599999999999999</v>
      </c>
      <c r="I15" s="22">
        <v>0.53300000000000003</v>
      </c>
      <c r="J15" s="22">
        <v>3.6999999999999998E-2</v>
      </c>
      <c r="K15" s="22"/>
      <c r="L15" s="22"/>
      <c r="M15" s="22"/>
    </row>
    <row r="16" spans="1:13" x14ac:dyDescent="0.2">
      <c r="A16" s="21" t="s">
        <v>34</v>
      </c>
      <c r="B16" s="22">
        <v>0.68799999999999994</v>
      </c>
      <c r="C16" s="22">
        <v>0.66700000000000004</v>
      </c>
      <c r="D16" s="22">
        <v>0.61799999999999999</v>
      </c>
      <c r="E16" s="22">
        <v>0.64400000000000002</v>
      </c>
      <c r="F16" s="22">
        <v>0.65600000000000003</v>
      </c>
      <c r="G16" s="22">
        <v>0.59099999999999997</v>
      </c>
      <c r="H16" s="22">
        <v>0.188</v>
      </c>
      <c r="I16" s="22">
        <v>0.66800000000000004</v>
      </c>
      <c r="J16" s="22">
        <v>3.7999999999999999E-2</v>
      </c>
      <c r="K16" s="22"/>
      <c r="L16" s="22"/>
      <c r="M16" s="22"/>
    </row>
    <row r="17" spans="1:13" x14ac:dyDescent="0.2">
      <c r="A17" s="21" t="s">
        <v>35</v>
      </c>
      <c r="B17" s="22">
        <v>0.68500000000000005</v>
      </c>
      <c r="C17" s="22">
        <v>0.63500000000000001</v>
      </c>
      <c r="D17" s="22">
        <v>0.65100000000000002</v>
      </c>
      <c r="E17" s="22">
        <v>0.65200000000000002</v>
      </c>
      <c r="F17" s="22">
        <v>0.59599999999999997</v>
      </c>
      <c r="G17" s="22">
        <v>0.56000000000000005</v>
      </c>
      <c r="H17" s="22">
        <v>0.18099999999999999</v>
      </c>
      <c r="I17" s="22">
        <v>0.56200000000000006</v>
      </c>
      <c r="J17" s="22">
        <v>3.5999999999999997E-2</v>
      </c>
      <c r="K17" s="22"/>
      <c r="L17" s="22"/>
      <c r="M17" s="22"/>
    </row>
    <row r="18" spans="1:13" x14ac:dyDescent="0.2">
      <c r="A18" s="21" t="s">
        <v>36</v>
      </c>
      <c r="B18" s="22">
        <v>0.66900000000000004</v>
      </c>
      <c r="C18" s="22">
        <v>0.63300000000000001</v>
      </c>
      <c r="D18" s="22">
        <v>0.60899999999999999</v>
      </c>
      <c r="E18" s="22">
        <v>0.67900000000000005</v>
      </c>
      <c r="F18" s="22">
        <v>0.56799999999999995</v>
      </c>
      <c r="G18" s="22">
        <v>0.54400000000000004</v>
      </c>
      <c r="H18" s="22">
        <v>0.184</v>
      </c>
      <c r="I18" s="22">
        <v>0.59499999999999997</v>
      </c>
      <c r="J18" s="22">
        <v>3.6999999999999998E-2</v>
      </c>
      <c r="K18" s="22"/>
      <c r="L18" s="22"/>
      <c r="M18" s="22"/>
    </row>
    <row r="19" spans="1:13" x14ac:dyDescent="0.2">
      <c r="A19" s="21" t="s">
        <v>37</v>
      </c>
      <c r="B19" s="22">
        <v>0.67900000000000005</v>
      </c>
      <c r="C19" s="22">
        <v>0.65900000000000003</v>
      </c>
      <c r="D19" s="22">
        <v>0.621</v>
      </c>
      <c r="E19" s="22">
        <v>0.65</v>
      </c>
      <c r="F19" s="22">
        <v>0.58199999999999996</v>
      </c>
      <c r="G19" s="22">
        <v>0.51600000000000001</v>
      </c>
      <c r="H19" s="22">
        <v>0.18099999999999999</v>
      </c>
      <c r="I19" s="22">
        <v>0.56299999999999994</v>
      </c>
      <c r="J19" s="22">
        <v>4.2000000000000003E-2</v>
      </c>
      <c r="K19" s="22"/>
      <c r="L19" s="22"/>
      <c r="M19" s="22"/>
    </row>
  </sheetData>
  <conditionalFormatting sqref="K12:M19">
    <cfRule type="expression" dxfId="1" priority="3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12:J19">
    <cfRule type="expression" dxfId="0" priority="1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abSelected="1" workbookViewId="0">
      <selection activeCell="F3" sqref="F3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8" t="s">
        <v>13</v>
      </c>
      <c r="B1" s="28"/>
      <c r="C1" s="28"/>
      <c r="D1" s="3" t="s">
        <v>59</v>
      </c>
      <c r="H1" s="7" t="s">
        <v>66</v>
      </c>
      <c r="M1" s="7"/>
    </row>
    <row r="2" spans="1:14" x14ac:dyDescent="0.2">
      <c r="A2" t="s">
        <v>21</v>
      </c>
      <c r="D2" s="11">
        <f>'Particle standard curve'!C30</f>
        <v>325836895.93098307</v>
      </c>
      <c r="H2" s="7" t="s">
        <v>29</v>
      </c>
      <c r="M2" s="7"/>
    </row>
    <row r="3" spans="1:14" x14ac:dyDescent="0.2">
      <c r="A3" t="s">
        <v>58</v>
      </c>
      <c r="B3" s="6"/>
      <c r="C3" s="6"/>
      <c r="D3" s="11">
        <f ca="1">'Raw Plate Reader Measurements'!H7</f>
        <v>3.7874999999999999E-2</v>
      </c>
      <c r="M3" s="7"/>
    </row>
    <row r="4" spans="1:14" x14ac:dyDescent="0.2">
      <c r="A4" t="s">
        <v>60</v>
      </c>
      <c r="D4" s="11" t="b">
        <f ca="1">AND(ISNUMBER(D2),ISNUMBER(D3))</f>
        <v>1</v>
      </c>
      <c r="M4" s="7"/>
    </row>
    <row r="6" spans="1:14" ht="19" x14ac:dyDescent="0.25">
      <c r="A6" s="9" t="s">
        <v>14</v>
      </c>
      <c r="B6" s="9"/>
      <c r="C6" s="9"/>
    </row>
    <row r="7" spans="1:14" ht="16" x14ac:dyDescent="0.2">
      <c r="A7" s="13" t="s">
        <v>64</v>
      </c>
      <c r="B7" s="14"/>
      <c r="C7" s="14"/>
    </row>
    <row r="8" spans="1:14" s="5" customFormat="1" x14ac:dyDescent="0.2">
      <c r="A8" s="12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/>
    </row>
    <row r="9" spans="1:14" x14ac:dyDescent="0.2">
      <c r="A9" s="21" t="s">
        <v>30</v>
      </c>
      <c r="B9" s="26">
        <f ca="1">IF(AND($D$4,ISNUMBER(B20)),B20*$D$2,"---")</f>
        <v>219003123.67761198</v>
      </c>
      <c r="C9" s="26">
        <f t="shared" ref="C9:M9" ca="1" si="0">IF(AND($D$4,ISNUMBER(C20)),C20*$D$2,"---")</f>
        <v>214767244.0305092</v>
      </c>
      <c r="D9" s="26">
        <f t="shared" ca="1" si="0"/>
        <v>93555918.744183525</v>
      </c>
      <c r="E9" s="26">
        <f t="shared" ca="1" si="0"/>
        <v>192936172.00313336</v>
      </c>
      <c r="F9" s="26">
        <f t="shared" ca="1" si="0"/>
        <v>195868704.0665122</v>
      </c>
      <c r="G9" s="26">
        <f t="shared" ca="1" si="0"/>
        <v>205643810.94444171</v>
      </c>
      <c r="H9" s="26">
        <f t="shared" ca="1" si="0"/>
        <v>57713860.191775374</v>
      </c>
      <c r="I9" s="26">
        <f t="shared" ca="1" si="0"/>
        <v>181206043.74961796</v>
      </c>
      <c r="J9" s="26">
        <f t="shared" ca="1" si="0"/>
        <v>40729.61199137292</v>
      </c>
      <c r="K9" s="26" t="str">
        <f t="shared" ca="1" si="0"/>
        <v>---</v>
      </c>
      <c r="L9" s="26" t="str">
        <f t="shared" ca="1" si="0"/>
        <v>---</v>
      </c>
      <c r="M9" s="26" t="str">
        <f t="shared" ca="1" si="0"/>
        <v>---</v>
      </c>
    </row>
    <row r="10" spans="1:14" x14ac:dyDescent="0.2">
      <c r="A10" s="21" t="s">
        <v>31</v>
      </c>
      <c r="B10" s="26">
        <f t="shared" ref="B10:M10" ca="1" si="1">IF(AND($D$4,ISNUMBER(B21)),B21*$D$2,"---")</f>
        <v>230081578.13926542</v>
      </c>
      <c r="C10" s="26">
        <f t="shared" ca="1" si="1"/>
        <v>216396428.51016411</v>
      </c>
      <c r="D10" s="26">
        <f t="shared" ca="1" si="1"/>
        <v>115386990.77155939</v>
      </c>
      <c r="E10" s="26">
        <f t="shared" ca="1" si="1"/>
        <v>213789733.34271625</v>
      </c>
      <c r="F10" s="26">
        <f t="shared" ca="1" si="1"/>
        <v>205317974.04851073</v>
      </c>
      <c r="G10" s="26">
        <f t="shared" ca="1" si="1"/>
        <v>181206043.74961796</v>
      </c>
      <c r="H10" s="26">
        <f t="shared" ca="1" si="1"/>
        <v>48916264.001638837</v>
      </c>
      <c r="I10" s="26">
        <f t="shared" ca="1" si="1"/>
        <v>179902696.16589403</v>
      </c>
      <c r="J10" s="26">
        <f t="shared" ca="1" si="1"/>
        <v>366566.50792235625</v>
      </c>
      <c r="K10" s="26" t="str">
        <f t="shared" ca="1" si="1"/>
        <v>---</v>
      </c>
      <c r="L10" s="26" t="str">
        <f t="shared" ca="1" si="1"/>
        <v>---</v>
      </c>
      <c r="M10" s="26" t="str">
        <f t="shared" ca="1" si="1"/>
        <v>---</v>
      </c>
    </row>
    <row r="11" spans="1:14" x14ac:dyDescent="0.2">
      <c r="A11" s="21" t="s">
        <v>32</v>
      </c>
      <c r="B11" s="26">
        <f t="shared" ref="B11:M11" ca="1" si="2">IF(AND($D$4,ISNUMBER(B22)),B22*$D$2,"---")</f>
        <v>224868187.80436969</v>
      </c>
      <c r="C11" s="26">
        <f t="shared" ca="1" si="2"/>
        <v>223239003.32471478</v>
      </c>
      <c r="D11" s="26">
        <f t="shared" ca="1" si="2"/>
        <v>101050167.35059611</v>
      </c>
      <c r="E11" s="26">
        <f t="shared" ca="1" si="2"/>
        <v>196846214.75430515</v>
      </c>
      <c r="F11" s="26">
        <f t="shared" ca="1" si="2"/>
        <v>173711795.14320534</v>
      </c>
      <c r="G11" s="26">
        <f t="shared" ca="1" si="2"/>
        <v>180228533.06182501</v>
      </c>
      <c r="H11" s="26">
        <f t="shared" ca="1" si="2"/>
        <v>45983731.938259989</v>
      </c>
      <c r="I11" s="26">
        <f t="shared" ca="1" si="2"/>
        <v>164914198.95306882</v>
      </c>
      <c r="J11" s="26">
        <f t="shared" ca="1" si="2"/>
        <v>-610944.17987059383</v>
      </c>
      <c r="K11" s="26" t="str">
        <f t="shared" ca="1" si="2"/>
        <v>---</v>
      </c>
      <c r="L11" s="26" t="str">
        <f t="shared" ca="1" si="2"/>
        <v>---</v>
      </c>
      <c r="M11" s="26" t="str">
        <f t="shared" ca="1" si="2"/>
        <v>---</v>
      </c>
    </row>
    <row r="12" spans="1:14" x14ac:dyDescent="0.2">
      <c r="A12" s="21" t="s">
        <v>33</v>
      </c>
      <c r="B12" s="26">
        <f t="shared" ref="B12:M12" ca="1" si="3">IF(AND($D$4,ISNUMBER(B23)),B23*$D$2,"---")</f>
        <v>218677286.781681</v>
      </c>
      <c r="C12" s="26">
        <f t="shared" ca="1" si="3"/>
        <v>217699776.09388804</v>
      </c>
      <c r="D12" s="26">
        <f t="shared" ca="1" si="3"/>
        <v>99746819.766872182</v>
      </c>
      <c r="E12" s="26">
        <f t="shared" ca="1" si="3"/>
        <v>183486902.02113482</v>
      </c>
      <c r="F12" s="26">
        <f t="shared" ca="1" si="3"/>
        <v>180554369.95775598</v>
      </c>
      <c r="G12" s="26">
        <f t="shared" ca="1" si="3"/>
        <v>163610851.36934489</v>
      </c>
      <c r="H12" s="26">
        <f t="shared" ca="1" si="3"/>
        <v>45006221.250467032</v>
      </c>
      <c r="I12" s="26">
        <f t="shared" ca="1" si="3"/>
        <v>161329993.097828</v>
      </c>
      <c r="J12" s="26">
        <f t="shared" ca="1" si="3"/>
        <v>-285107.28393961041</v>
      </c>
      <c r="K12" s="26" t="str">
        <f t="shared" ca="1" si="3"/>
        <v>---</v>
      </c>
      <c r="L12" s="26" t="str">
        <f t="shared" ca="1" si="3"/>
        <v>---</v>
      </c>
      <c r="M12" s="26" t="str">
        <f t="shared" ca="1" si="3"/>
        <v>---</v>
      </c>
    </row>
    <row r="13" spans="1:14" x14ac:dyDescent="0.2">
      <c r="A13" s="21" t="s">
        <v>34</v>
      </c>
      <c r="B13" s="26">
        <f t="shared" ref="B13:M13" ca="1" si="4">IF(AND($D$4,ISNUMBER(B24)),B24*$D$2,"---")</f>
        <v>211834711.96713036</v>
      </c>
      <c r="C13" s="26">
        <f t="shared" ca="1" si="4"/>
        <v>204992137.15257972</v>
      </c>
      <c r="D13" s="26">
        <f t="shared" ca="1" si="4"/>
        <v>189026129.25196156</v>
      </c>
      <c r="E13" s="26">
        <f t="shared" ca="1" si="4"/>
        <v>197497888.54616711</v>
      </c>
      <c r="F13" s="26">
        <f t="shared" ca="1" si="4"/>
        <v>201407931.29733893</v>
      </c>
      <c r="G13" s="26">
        <f t="shared" ca="1" si="4"/>
        <v>180228533.06182501</v>
      </c>
      <c r="H13" s="26">
        <f t="shared" ca="1" si="4"/>
        <v>48916264.001638837</v>
      </c>
      <c r="I13" s="26">
        <f t="shared" ca="1" si="4"/>
        <v>205317974.04851073</v>
      </c>
      <c r="J13" s="26">
        <f t="shared" ca="1" si="4"/>
        <v>40729.61199137292</v>
      </c>
      <c r="K13" s="26" t="str">
        <f t="shared" ca="1" si="4"/>
        <v>---</v>
      </c>
      <c r="L13" s="26" t="str">
        <f t="shared" ca="1" si="4"/>
        <v>---</v>
      </c>
      <c r="M13" s="26" t="str">
        <f t="shared" ca="1" si="4"/>
        <v>---</v>
      </c>
    </row>
    <row r="14" spans="1:14" x14ac:dyDescent="0.2">
      <c r="A14" s="21" t="s">
        <v>35</v>
      </c>
      <c r="B14" s="26">
        <f t="shared" ref="B14:M14" ca="1" si="5">IF(AND($D$4,ISNUMBER(B25)),B25*$D$2,"---")</f>
        <v>210857201.27933744</v>
      </c>
      <c r="C14" s="26">
        <f t="shared" ca="1" si="5"/>
        <v>194565356.48278826</v>
      </c>
      <c r="D14" s="26">
        <f t="shared" ca="1" si="5"/>
        <v>199778746.81768399</v>
      </c>
      <c r="E14" s="26">
        <f t="shared" ca="1" si="5"/>
        <v>200104583.713615</v>
      </c>
      <c r="F14" s="26">
        <f t="shared" ca="1" si="5"/>
        <v>181857717.54147992</v>
      </c>
      <c r="G14" s="26">
        <f t="shared" ca="1" si="5"/>
        <v>170127589.28796455</v>
      </c>
      <c r="H14" s="26">
        <f t="shared" ca="1" si="5"/>
        <v>46635405.730121955</v>
      </c>
      <c r="I14" s="26">
        <f t="shared" ca="1" si="5"/>
        <v>170779263.07982653</v>
      </c>
      <c r="J14" s="26">
        <f t="shared" ca="1" si="5"/>
        <v>-610944.17987059383</v>
      </c>
      <c r="K14" s="26" t="str">
        <f t="shared" ca="1" si="5"/>
        <v>---</v>
      </c>
      <c r="L14" s="26" t="str">
        <f t="shared" ca="1" si="5"/>
        <v>---</v>
      </c>
      <c r="M14" s="26" t="str">
        <f t="shared" ca="1" si="5"/>
        <v>---</v>
      </c>
    </row>
    <row r="15" spans="1:14" x14ac:dyDescent="0.2">
      <c r="A15" s="21" t="s">
        <v>36</v>
      </c>
      <c r="B15" s="26">
        <f t="shared" ref="B15:M15" ca="1" si="6">IF(AND($D$4,ISNUMBER(B26)),B26*$D$2,"---")</f>
        <v>205643810.94444171</v>
      </c>
      <c r="C15" s="26">
        <f t="shared" ca="1" si="6"/>
        <v>193913682.69092631</v>
      </c>
      <c r="D15" s="26">
        <f t="shared" ca="1" si="6"/>
        <v>186093597.18858269</v>
      </c>
      <c r="E15" s="26">
        <f t="shared" ca="1" si="6"/>
        <v>208902179.90375152</v>
      </c>
      <c r="F15" s="26">
        <f t="shared" ca="1" si="6"/>
        <v>172734284.45541239</v>
      </c>
      <c r="G15" s="26">
        <f t="shared" ca="1" si="6"/>
        <v>164914198.95306882</v>
      </c>
      <c r="H15" s="26">
        <f t="shared" ca="1" si="6"/>
        <v>47612916.417914905</v>
      </c>
      <c r="I15" s="26">
        <f t="shared" ca="1" si="6"/>
        <v>181531880.64554894</v>
      </c>
      <c r="J15" s="26">
        <f t="shared" ca="1" si="6"/>
        <v>-285107.28393961041</v>
      </c>
      <c r="K15" s="26" t="str">
        <f t="shared" ca="1" si="6"/>
        <v>---</v>
      </c>
      <c r="L15" s="26" t="str">
        <f t="shared" ca="1" si="6"/>
        <v>---</v>
      </c>
      <c r="M15" s="26" t="str">
        <f t="shared" ca="1" si="6"/>
        <v>---</v>
      </c>
    </row>
    <row r="16" spans="1:14" x14ac:dyDescent="0.2">
      <c r="A16" s="21" t="s">
        <v>37</v>
      </c>
      <c r="B16" s="26">
        <f t="shared" ref="B16:M16" ca="1" si="7">IF(AND($D$4,ISNUMBER(B27)),B27*$D$2,"---")</f>
        <v>208902179.90375152</v>
      </c>
      <c r="C16" s="26">
        <f t="shared" ca="1" si="7"/>
        <v>202385441.98513186</v>
      </c>
      <c r="D16" s="26">
        <f t="shared" ca="1" si="7"/>
        <v>190003639.93975452</v>
      </c>
      <c r="E16" s="26">
        <f t="shared" ca="1" si="7"/>
        <v>199452909.92175302</v>
      </c>
      <c r="F16" s="26">
        <f t="shared" ca="1" si="7"/>
        <v>177296000.99844614</v>
      </c>
      <c r="G16" s="26">
        <f t="shared" ca="1" si="7"/>
        <v>155790765.8670013</v>
      </c>
      <c r="H16" s="26">
        <f t="shared" ca="1" si="7"/>
        <v>46635405.730121955</v>
      </c>
      <c r="I16" s="26">
        <f t="shared" ca="1" si="7"/>
        <v>171105099.97575748</v>
      </c>
      <c r="J16" s="26">
        <f t="shared" ca="1" si="7"/>
        <v>1344077.1957153063</v>
      </c>
      <c r="K16" s="26" t="str">
        <f t="shared" ca="1" si="7"/>
        <v>---</v>
      </c>
      <c r="L16" s="26" t="str">
        <f t="shared" ca="1" si="7"/>
        <v>---</v>
      </c>
      <c r="M16" s="26" t="str">
        <f t="shared" ca="1" si="7"/>
        <v>---</v>
      </c>
    </row>
    <row r="18" spans="1:13" ht="16" x14ac:dyDescent="0.2">
      <c r="A18" s="13" t="s">
        <v>22</v>
      </c>
    </row>
    <row r="19" spans="1:13" x14ac:dyDescent="0.2">
      <c r="A19" s="12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  <c r="L19" s="29">
        <v>11</v>
      </c>
      <c r="M19" s="29">
        <v>12</v>
      </c>
    </row>
    <row r="20" spans="1:13" x14ac:dyDescent="0.2">
      <c r="A20" s="21" t="s">
        <v>30</v>
      </c>
      <c r="B20" s="17">
        <f ca="1">IF(ISNUMBER('Raw Plate Reader Measurements'!B12),'Raw Plate Reader Measurements'!B12-$D$3,"---")</f>
        <v>0.67212499999999997</v>
      </c>
      <c r="C20" s="17">
        <f ca="1">IF(ISNUMBER('Raw Plate Reader Measurements'!C12),'Raw Plate Reader Measurements'!C12-$D$3,"---")</f>
        <v>0.65912499999999996</v>
      </c>
      <c r="D20" s="17">
        <f ca="1">IF(ISNUMBER('Raw Plate Reader Measurements'!D12),'Raw Plate Reader Measurements'!D12-$D$3,"---")</f>
        <v>0.28712500000000002</v>
      </c>
      <c r="E20" s="17">
        <f ca="1">IF(ISNUMBER('Raw Plate Reader Measurements'!E12),'Raw Plate Reader Measurements'!E12-$D$3,"---")</f>
        <v>0.59212500000000001</v>
      </c>
      <c r="F20" s="17">
        <f ca="1">IF(ISNUMBER('Raw Plate Reader Measurements'!F12),'Raw Plate Reader Measurements'!F12-$D$3,"---")</f>
        <v>0.60112500000000002</v>
      </c>
      <c r="G20" s="17">
        <f ca="1">IF(ISNUMBER('Raw Plate Reader Measurements'!G12),'Raw Plate Reader Measurements'!G12-$D$3,"---")</f>
        <v>0.63112500000000005</v>
      </c>
      <c r="H20" s="17">
        <f ca="1">IF(ISNUMBER('Raw Plate Reader Measurements'!H12),'Raw Plate Reader Measurements'!H12-$D$3,"---")</f>
        <v>0.177125</v>
      </c>
      <c r="I20" s="17">
        <f ca="1">IF(ISNUMBER('Raw Plate Reader Measurements'!I12),'Raw Plate Reader Measurements'!I12-$D$3,"---")</f>
        <v>0.55612499999999998</v>
      </c>
      <c r="J20" s="17">
        <f ca="1">IF(ISNUMBER('Raw Plate Reader Measurements'!J12),'Raw Plate Reader Measurements'!J12-$D$3,"---")</f>
        <v>1.2500000000000011E-4</v>
      </c>
      <c r="K20" s="17" t="str">
        <f>IF(ISNUMBER('Raw Plate Reader Measurements'!K12),'Raw Plate Reader Measurements'!K12-$D$3,"---")</f>
        <v>---</v>
      </c>
      <c r="L20" s="17" t="str">
        <f>IF(ISNUMBER('Raw Plate Reader Measurements'!L12),'Raw Plate Reader Measurements'!L12-$D$3,"---")</f>
        <v>---</v>
      </c>
      <c r="M20" s="17" t="str">
        <f>IF(ISNUMBER('Raw Plate Reader Measurements'!M12),'Raw Plate Reader Measurements'!M12-$D$3,"---")</f>
        <v>---</v>
      </c>
    </row>
    <row r="21" spans="1:13" x14ac:dyDescent="0.2">
      <c r="A21" s="21" t="s">
        <v>31</v>
      </c>
      <c r="B21" s="17">
        <f ca="1">IF(ISNUMBER('Raw Plate Reader Measurements'!B13),'Raw Plate Reader Measurements'!B13-$D$3,"---")</f>
        <v>0.706125</v>
      </c>
      <c r="C21" s="17">
        <f ca="1">IF(ISNUMBER('Raw Plate Reader Measurements'!C13),'Raw Plate Reader Measurements'!C13-$D$3,"---")</f>
        <v>0.66412499999999997</v>
      </c>
      <c r="D21" s="17">
        <f ca="1">IF(ISNUMBER('Raw Plate Reader Measurements'!D13),'Raw Plate Reader Measurements'!D13-$D$3,"---")</f>
        <v>0.35412500000000002</v>
      </c>
      <c r="E21" s="17">
        <f ca="1">IF(ISNUMBER('Raw Plate Reader Measurements'!E13),'Raw Plate Reader Measurements'!E13-$D$3,"---")</f>
        <v>0.65612499999999996</v>
      </c>
      <c r="F21" s="17">
        <f ca="1">IF(ISNUMBER('Raw Plate Reader Measurements'!F13),'Raw Plate Reader Measurements'!F13-$D$3,"---")</f>
        <v>0.63012500000000005</v>
      </c>
      <c r="G21" s="17">
        <f ca="1">IF(ISNUMBER('Raw Plate Reader Measurements'!G13),'Raw Plate Reader Measurements'!G13-$D$3,"---")</f>
        <v>0.55612499999999998</v>
      </c>
      <c r="H21" s="17">
        <f ca="1">IF(ISNUMBER('Raw Plate Reader Measurements'!H13),'Raw Plate Reader Measurements'!H13-$D$3,"---")</f>
        <v>0.15012500000000001</v>
      </c>
      <c r="I21" s="17">
        <f ca="1">IF(ISNUMBER('Raw Plate Reader Measurements'!I13),'Raw Plate Reader Measurements'!I13-$D$3,"---")</f>
        <v>0.55212499999999998</v>
      </c>
      <c r="J21" s="17">
        <f ca="1">IF(ISNUMBER('Raw Plate Reader Measurements'!J13),'Raw Plate Reader Measurements'!J13-$D$3,"---")</f>
        <v>1.125000000000001E-3</v>
      </c>
      <c r="K21" s="17" t="str">
        <f>IF(ISNUMBER('Raw Plate Reader Measurements'!K13),'Raw Plate Reader Measurements'!K13-$D$3,"---")</f>
        <v>---</v>
      </c>
      <c r="L21" s="17" t="str">
        <f>IF(ISNUMBER('Raw Plate Reader Measurements'!L13),'Raw Plate Reader Measurements'!L13-$D$3,"---")</f>
        <v>---</v>
      </c>
      <c r="M21" s="17" t="str">
        <f>IF(ISNUMBER('Raw Plate Reader Measurements'!M13),'Raw Plate Reader Measurements'!M13-$D$3,"---")</f>
        <v>---</v>
      </c>
    </row>
    <row r="22" spans="1:13" x14ac:dyDescent="0.2">
      <c r="A22" s="21" t="s">
        <v>32</v>
      </c>
      <c r="B22" s="17">
        <f ca="1">IF(ISNUMBER('Raw Plate Reader Measurements'!B14),'Raw Plate Reader Measurements'!B14-$D$3,"---")</f>
        <v>0.69012499999999999</v>
      </c>
      <c r="C22" s="17">
        <f ca="1">IF(ISNUMBER('Raw Plate Reader Measurements'!C14),'Raw Plate Reader Measurements'!C14-$D$3,"---")</f>
        <v>0.68512499999999998</v>
      </c>
      <c r="D22" s="17">
        <f ca="1">IF(ISNUMBER('Raw Plate Reader Measurements'!D14),'Raw Plate Reader Measurements'!D14-$D$3,"---")</f>
        <v>0.31012499999999998</v>
      </c>
      <c r="E22" s="17">
        <f ca="1">IF(ISNUMBER('Raw Plate Reader Measurements'!E14),'Raw Plate Reader Measurements'!E14-$D$3,"---")</f>
        <v>0.60412500000000002</v>
      </c>
      <c r="F22" s="17">
        <f ca="1">IF(ISNUMBER('Raw Plate Reader Measurements'!F14),'Raw Plate Reader Measurements'!F14-$D$3,"---")</f>
        <v>0.53312499999999996</v>
      </c>
      <c r="G22" s="17">
        <f ca="1">IF(ISNUMBER('Raw Plate Reader Measurements'!G14),'Raw Plate Reader Measurements'!G14-$D$3,"---")</f>
        <v>0.55312499999999998</v>
      </c>
      <c r="H22" s="17">
        <f ca="1">IF(ISNUMBER('Raw Plate Reader Measurements'!H14),'Raw Plate Reader Measurements'!H14-$D$3,"---")</f>
        <v>0.141125</v>
      </c>
      <c r="I22" s="17">
        <f ca="1">IF(ISNUMBER('Raw Plate Reader Measurements'!I14),'Raw Plate Reader Measurements'!I14-$D$3,"---")</f>
        <v>0.50612500000000005</v>
      </c>
      <c r="J22" s="17">
        <f ca="1">IF(ISNUMBER('Raw Plate Reader Measurements'!J14),'Raw Plate Reader Measurements'!J14-$D$3,"---")</f>
        <v>-1.8750000000000017E-3</v>
      </c>
      <c r="K22" s="17" t="str">
        <f>IF(ISNUMBER('Raw Plate Reader Measurements'!K14),'Raw Plate Reader Measurements'!K14-$D$3,"---")</f>
        <v>---</v>
      </c>
      <c r="L22" s="17" t="str">
        <f>IF(ISNUMBER('Raw Plate Reader Measurements'!L14),'Raw Plate Reader Measurements'!L14-$D$3,"---")</f>
        <v>---</v>
      </c>
      <c r="M22" s="17" t="str">
        <f>IF(ISNUMBER('Raw Plate Reader Measurements'!M14),'Raw Plate Reader Measurements'!M14-$D$3,"---")</f>
        <v>---</v>
      </c>
    </row>
    <row r="23" spans="1:13" x14ac:dyDescent="0.2">
      <c r="A23" s="21" t="s">
        <v>33</v>
      </c>
      <c r="B23" s="17">
        <f ca="1">IF(ISNUMBER('Raw Plate Reader Measurements'!B15),'Raw Plate Reader Measurements'!B15-$D$3,"---")</f>
        <v>0.67112499999999997</v>
      </c>
      <c r="C23" s="17">
        <f ca="1">IF(ISNUMBER('Raw Plate Reader Measurements'!C15),'Raw Plate Reader Measurements'!C15-$D$3,"---")</f>
        <v>0.66812499999999997</v>
      </c>
      <c r="D23" s="17">
        <f ca="1">IF(ISNUMBER('Raw Plate Reader Measurements'!D15),'Raw Plate Reader Measurements'!D15-$D$3,"---")</f>
        <v>0.30612499999999998</v>
      </c>
      <c r="E23" s="17">
        <f ca="1">IF(ISNUMBER('Raw Plate Reader Measurements'!E15),'Raw Plate Reader Measurements'!E15-$D$3,"---")</f>
        <v>0.56312499999999999</v>
      </c>
      <c r="F23" s="17">
        <f ca="1">IF(ISNUMBER('Raw Plate Reader Measurements'!F15),'Raw Plate Reader Measurements'!F15-$D$3,"---")</f>
        <v>0.55412499999999998</v>
      </c>
      <c r="G23" s="17">
        <f ca="1">IF(ISNUMBER('Raw Plate Reader Measurements'!G15),'Raw Plate Reader Measurements'!G15-$D$3,"---")</f>
        <v>0.50212500000000004</v>
      </c>
      <c r="H23" s="17">
        <f ca="1">IF(ISNUMBER('Raw Plate Reader Measurements'!H15),'Raw Plate Reader Measurements'!H15-$D$3,"---")</f>
        <v>0.138125</v>
      </c>
      <c r="I23" s="17">
        <f ca="1">IF(ISNUMBER('Raw Plate Reader Measurements'!I15),'Raw Plate Reader Measurements'!I15-$D$3,"---")</f>
        <v>0.49512500000000004</v>
      </c>
      <c r="J23" s="17">
        <f ca="1">IF(ISNUMBER('Raw Plate Reader Measurements'!J15),'Raw Plate Reader Measurements'!J15-$D$3,"---")</f>
        <v>-8.7500000000000078E-4</v>
      </c>
      <c r="K23" s="17" t="str">
        <f>IF(ISNUMBER('Raw Plate Reader Measurements'!K15),'Raw Plate Reader Measurements'!K15-$D$3,"---")</f>
        <v>---</v>
      </c>
      <c r="L23" s="17" t="str">
        <f>IF(ISNUMBER('Raw Plate Reader Measurements'!L15),'Raw Plate Reader Measurements'!L15-$D$3,"---")</f>
        <v>---</v>
      </c>
      <c r="M23" s="17" t="str">
        <f>IF(ISNUMBER('Raw Plate Reader Measurements'!M15),'Raw Plate Reader Measurements'!M15-$D$3,"---")</f>
        <v>---</v>
      </c>
    </row>
    <row r="24" spans="1:13" x14ac:dyDescent="0.2">
      <c r="A24" s="21" t="s">
        <v>34</v>
      </c>
      <c r="B24" s="17">
        <f ca="1">IF(ISNUMBER('Raw Plate Reader Measurements'!B16),'Raw Plate Reader Measurements'!B16-$D$3,"---")</f>
        <v>0.65012499999999995</v>
      </c>
      <c r="C24" s="17">
        <f ca="1">IF(ISNUMBER('Raw Plate Reader Measurements'!C16),'Raw Plate Reader Measurements'!C16-$D$3,"---")</f>
        <v>0.62912500000000005</v>
      </c>
      <c r="D24" s="17">
        <f ca="1">IF(ISNUMBER('Raw Plate Reader Measurements'!D16),'Raw Plate Reader Measurements'!D16-$D$3,"---")</f>
        <v>0.580125</v>
      </c>
      <c r="E24" s="17">
        <f ca="1">IF(ISNUMBER('Raw Plate Reader Measurements'!E16),'Raw Plate Reader Measurements'!E16-$D$3,"---")</f>
        <v>0.60612500000000002</v>
      </c>
      <c r="F24" s="17">
        <f ca="1">IF(ISNUMBER('Raw Plate Reader Measurements'!F16),'Raw Plate Reader Measurements'!F16-$D$3,"---")</f>
        <v>0.61812500000000004</v>
      </c>
      <c r="G24" s="17">
        <f ca="1">IF(ISNUMBER('Raw Plate Reader Measurements'!G16),'Raw Plate Reader Measurements'!G16-$D$3,"---")</f>
        <v>0.55312499999999998</v>
      </c>
      <c r="H24" s="17">
        <f ca="1">IF(ISNUMBER('Raw Plate Reader Measurements'!H16),'Raw Plate Reader Measurements'!H16-$D$3,"---")</f>
        <v>0.15012500000000001</v>
      </c>
      <c r="I24" s="17">
        <f ca="1">IF(ISNUMBER('Raw Plate Reader Measurements'!I16),'Raw Plate Reader Measurements'!I16-$D$3,"---")</f>
        <v>0.63012500000000005</v>
      </c>
      <c r="J24" s="17">
        <f ca="1">IF(ISNUMBER('Raw Plate Reader Measurements'!J16),'Raw Plate Reader Measurements'!J16-$D$3,"---")</f>
        <v>1.2500000000000011E-4</v>
      </c>
      <c r="K24" s="17" t="str">
        <f>IF(ISNUMBER('Raw Plate Reader Measurements'!K16),'Raw Plate Reader Measurements'!K16-$D$3,"---")</f>
        <v>---</v>
      </c>
      <c r="L24" s="17" t="str">
        <f>IF(ISNUMBER('Raw Plate Reader Measurements'!L16),'Raw Plate Reader Measurements'!L16-$D$3,"---")</f>
        <v>---</v>
      </c>
      <c r="M24" s="17" t="str">
        <f>IF(ISNUMBER('Raw Plate Reader Measurements'!M16),'Raw Plate Reader Measurements'!M16-$D$3,"---")</f>
        <v>---</v>
      </c>
    </row>
    <row r="25" spans="1:13" x14ac:dyDescent="0.2">
      <c r="A25" s="21" t="s">
        <v>35</v>
      </c>
      <c r="B25" s="17">
        <f ca="1">IF(ISNUMBER('Raw Plate Reader Measurements'!B17),'Raw Plate Reader Measurements'!B17-$D$3,"---")</f>
        <v>0.64712500000000006</v>
      </c>
      <c r="C25" s="17">
        <f ca="1">IF(ISNUMBER('Raw Plate Reader Measurements'!C17),'Raw Plate Reader Measurements'!C17-$D$3,"---")</f>
        <v>0.59712500000000002</v>
      </c>
      <c r="D25" s="17">
        <f ca="1">IF(ISNUMBER('Raw Plate Reader Measurements'!D17),'Raw Plate Reader Measurements'!D17-$D$3,"---")</f>
        <v>0.61312500000000003</v>
      </c>
      <c r="E25" s="17">
        <f ca="1">IF(ISNUMBER('Raw Plate Reader Measurements'!E17),'Raw Plate Reader Measurements'!E17-$D$3,"---")</f>
        <v>0.61412500000000003</v>
      </c>
      <c r="F25" s="17">
        <f ca="1">IF(ISNUMBER('Raw Plate Reader Measurements'!F17),'Raw Plate Reader Measurements'!F17-$D$3,"---")</f>
        <v>0.55812499999999998</v>
      </c>
      <c r="G25" s="17">
        <f ca="1">IF(ISNUMBER('Raw Plate Reader Measurements'!G17),'Raw Plate Reader Measurements'!G17-$D$3,"---")</f>
        <v>0.52212500000000006</v>
      </c>
      <c r="H25" s="17">
        <f ca="1">IF(ISNUMBER('Raw Plate Reader Measurements'!H17),'Raw Plate Reader Measurements'!H17-$D$3,"---")</f>
        <v>0.143125</v>
      </c>
      <c r="I25" s="17">
        <f ca="1">IF(ISNUMBER('Raw Plate Reader Measurements'!I17),'Raw Plate Reader Measurements'!I17-$D$3,"---")</f>
        <v>0.52412500000000006</v>
      </c>
      <c r="J25" s="17">
        <f ca="1">IF(ISNUMBER('Raw Plate Reader Measurements'!J17),'Raw Plate Reader Measurements'!J17-$D$3,"---")</f>
        <v>-1.8750000000000017E-3</v>
      </c>
      <c r="K25" s="17" t="str">
        <f>IF(ISNUMBER('Raw Plate Reader Measurements'!K17),'Raw Plate Reader Measurements'!K17-$D$3,"---")</f>
        <v>---</v>
      </c>
      <c r="L25" s="17" t="str">
        <f>IF(ISNUMBER('Raw Plate Reader Measurements'!L17),'Raw Plate Reader Measurements'!L17-$D$3,"---")</f>
        <v>---</v>
      </c>
      <c r="M25" s="17" t="str">
        <f>IF(ISNUMBER('Raw Plate Reader Measurements'!M17),'Raw Plate Reader Measurements'!M17-$D$3,"---")</f>
        <v>---</v>
      </c>
    </row>
    <row r="26" spans="1:13" x14ac:dyDescent="0.2">
      <c r="A26" s="21" t="s">
        <v>36</v>
      </c>
      <c r="B26" s="17">
        <f ca="1">IF(ISNUMBER('Raw Plate Reader Measurements'!B18),'Raw Plate Reader Measurements'!B18-$D$3,"---")</f>
        <v>0.63112500000000005</v>
      </c>
      <c r="C26" s="17">
        <f ca="1">IF(ISNUMBER('Raw Plate Reader Measurements'!C18),'Raw Plate Reader Measurements'!C18-$D$3,"---")</f>
        <v>0.59512500000000002</v>
      </c>
      <c r="D26" s="17">
        <f ca="1">IF(ISNUMBER('Raw Plate Reader Measurements'!D18),'Raw Plate Reader Measurements'!D18-$D$3,"---")</f>
        <v>0.57112499999999999</v>
      </c>
      <c r="E26" s="17">
        <f ca="1">IF(ISNUMBER('Raw Plate Reader Measurements'!E18),'Raw Plate Reader Measurements'!E18-$D$3,"---")</f>
        <v>0.64112500000000006</v>
      </c>
      <c r="F26" s="17">
        <f ca="1">IF(ISNUMBER('Raw Plate Reader Measurements'!F18),'Raw Plate Reader Measurements'!F18-$D$3,"---")</f>
        <v>0.53012499999999996</v>
      </c>
      <c r="G26" s="17">
        <f ca="1">IF(ISNUMBER('Raw Plate Reader Measurements'!G18),'Raw Plate Reader Measurements'!G18-$D$3,"---")</f>
        <v>0.50612500000000005</v>
      </c>
      <c r="H26" s="17">
        <f ca="1">IF(ISNUMBER('Raw Plate Reader Measurements'!H18),'Raw Plate Reader Measurements'!H18-$D$3,"---")</f>
        <v>0.146125</v>
      </c>
      <c r="I26" s="17">
        <f ca="1">IF(ISNUMBER('Raw Plate Reader Measurements'!I18),'Raw Plate Reader Measurements'!I18-$D$3,"---")</f>
        <v>0.55712499999999998</v>
      </c>
      <c r="J26" s="17">
        <f ca="1">IF(ISNUMBER('Raw Plate Reader Measurements'!J18),'Raw Plate Reader Measurements'!J18-$D$3,"---")</f>
        <v>-8.7500000000000078E-4</v>
      </c>
      <c r="K26" s="17" t="str">
        <f>IF(ISNUMBER('Raw Plate Reader Measurements'!K18),'Raw Plate Reader Measurements'!K18-$D$3,"---")</f>
        <v>---</v>
      </c>
      <c r="L26" s="17" t="str">
        <f>IF(ISNUMBER('Raw Plate Reader Measurements'!L18),'Raw Plate Reader Measurements'!L18-$D$3,"---")</f>
        <v>---</v>
      </c>
      <c r="M26" s="17" t="str">
        <f>IF(ISNUMBER('Raw Plate Reader Measurements'!M18),'Raw Plate Reader Measurements'!M18-$D$3,"---")</f>
        <v>---</v>
      </c>
    </row>
    <row r="27" spans="1:13" x14ac:dyDescent="0.2">
      <c r="A27" s="21" t="s">
        <v>37</v>
      </c>
      <c r="B27" s="17">
        <f ca="1">IF(ISNUMBER('Raw Plate Reader Measurements'!B19),'Raw Plate Reader Measurements'!B19-$D$3,"---")</f>
        <v>0.64112500000000006</v>
      </c>
      <c r="C27" s="17">
        <f ca="1">IF(ISNUMBER('Raw Plate Reader Measurements'!C19),'Raw Plate Reader Measurements'!C19-$D$3,"---")</f>
        <v>0.62112500000000004</v>
      </c>
      <c r="D27" s="17">
        <f ca="1">IF(ISNUMBER('Raw Plate Reader Measurements'!D19),'Raw Plate Reader Measurements'!D19-$D$3,"---")</f>
        <v>0.583125</v>
      </c>
      <c r="E27" s="17">
        <f ca="1">IF(ISNUMBER('Raw Plate Reader Measurements'!E19),'Raw Plate Reader Measurements'!E19-$D$3,"---")</f>
        <v>0.61212500000000003</v>
      </c>
      <c r="F27" s="17">
        <f ca="1">IF(ISNUMBER('Raw Plate Reader Measurements'!F19),'Raw Plate Reader Measurements'!F19-$D$3,"---")</f>
        <v>0.54412499999999997</v>
      </c>
      <c r="G27" s="17">
        <f ca="1">IF(ISNUMBER('Raw Plate Reader Measurements'!G19),'Raw Plate Reader Measurements'!G19-$D$3,"---")</f>
        <v>0.47812500000000002</v>
      </c>
      <c r="H27" s="17">
        <f ca="1">IF(ISNUMBER('Raw Plate Reader Measurements'!H19),'Raw Plate Reader Measurements'!H19-$D$3,"---")</f>
        <v>0.143125</v>
      </c>
      <c r="I27" s="17">
        <f ca="1">IF(ISNUMBER('Raw Plate Reader Measurements'!I19),'Raw Plate Reader Measurements'!I19-$D$3,"---")</f>
        <v>0.52512499999999995</v>
      </c>
      <c r="J27" s="17">
        <f ca="1">IF(ISNUMBER('Raw Plate Reader Measurements'!J19),'Raw Plate Reader Measurements'!J19-$D$3,"---")</f>
        <v>4.1250000000000037E-3</v>
      </c>
      <c r="K27" s="17" t="str">
        <f>IF(ISNUMBER('Raw Plate Reader Measurements'!K19),'Raw Plate Reader Measurements'!K19-$D$3,"---")</f>
        <v>---</v>
      </c>
      <c r="L27" s="17" t="str">
        <f>IF(ISNUMBER('Raw Plate Reader Measurements'!L19),'Raw Plate Reader Measurements'!L19-$D$3,"---")</f>
        <v>---</v>
      </c>
      <c r="M27" s="17" t="str">
        <f>IF(ISNUMBER('Raw Plate Reader Measurements'!M19),'Raw Plate Reader Measurements'!M19-$D$3,"---")</f>
        <v>---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Particle standard curve</vt:lpstr>
      <vt:lpstr>Raw Plate Reader Measurements</vt:lpstr>
      <vt:lpstr>Equivalent Particle Count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2019-05-02T13:30:18Z</dcterms:modified>
</cp:coreProperties>
</file>