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2120" windowHeight="86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E5"/>
  <c r="F5" s="1"/>
  <c r="G5" s="1"/>
  <c r="D6"/>
  <c r="E6"/>
  <c r="F6" s="1"/>
  <c r="G6" s="1"/>
  <c r="D7"/>
  <c r="E7"/>
  <c r="F7" s="1"/>
  <c r="G7" s="1"/>
  <c r="D8"/>
  <c r="E8"/>
  <c r="F8" s="1"/>
  <c r="G8" s="1"/>
  <c r="D9"/>
  <c r="E9"/>
  <c r="F9" s="1"/>
  <c r="G9" s="1"/>
  <c r="C10"/>
  <c r="D10"/>
  <c r="E10"/>
  <c r="F10"/>
  <c r="G10" s="1"/>
  <c r="D11"/>
  <c r="E11"/>
  <c r="F11"/>
  <c r="G11" s="1"/>
  <c r="D12"/>
  <c r="E12"/>
  <c r="F12"/>
  <c r="G12" s="1"/>
  <c r="D13"/>
  <c r="E13"/>
  <c r="F13"/>
  <c r="G13" s="1"/>
  <c r="D14"/>
  <c r="E14"/>
  <c r="F14"/>
  <c r="G14" s="1"/>
  <c r="D15"/>
  <c r="E15"/>
  <c r="F15"/>
  <c r="G15" s="1"/>
  <c r="D16"/>
  <c r="E16"/>
  <c r="F16"/>
  <c r="G16" s="1"/>
  <c r="D17"/>
  <c r="E17"/>
  <c r="F17"/>
  <c r="G17" s="1"/>
  <c r="D18"/>
  <c r="E18"/>
  <c r="F18"/>
  <c r="G18" s="1"/>
  <c r="D19"/>
  <c r="E19"/>
  <c r="F19"/>
  <c r="G19" s="1"/>
  <c r="D20"/>
  <c r="E20"/>
  <c r="F20"/>
  <c r="G20" s="1"/>
  <c r="D21"/>
  <c r="E2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H40"/>
  <c r="H41"/>
  <c r="H42"/>
  <c r="E43"/>
  <c r="H43"/>
  <c r="E44"/>
  <c r="H44"/>
  <c r="E45"/>
  <c r="H45"/>
  <c r="E46"/>
  <c r="H46"/>
  <c r="E47"/>
  <c r="H47"/>
  <c r="E48"/>
  <c r="H48"/>
  <c r="E49"/>
  <c r="H49"/>
  <c r="E50"/>
  <c r="H50"/>
  <c r="E51"/>
  <c r="H51"/>
  <c r="E52"/>
  <c r="H52"/>
  <c r="E53"/>
  <c r="H53"/>
  <c r="E54"/>
  <c r="H54"/>
  <c r="E55"/>
  <c r="H55"/>
  <c r="E56"/>
  <c r="H56"/>
  <c r="E57"/>
  <c r="H57"/>
  <c r="E58"/>
  <c r="H58"/>
  <c r="E59"/>
  <c r="H59"/>
  <c r="E60"/>
  <c r="H60"/>
  <c r="E61"/>
  <c r="H61"/>
  <c r="E62"/>
  <c r="H62"/>
  <c r="E63"/>
  <c r="H63"/>
  <c r="E64"/>
  <c r="H64"/>
  <c r="E65"/>
  <c r="H65"/>
  <c r="E67"/>
  <c r="H67"/>
  <c r="E82"/>
  <c r="H82"/>
  <c r="K82"/>
  <c r="E83"/>
  <c r="H83"/>
  <c r="K83"/>
  <c r="E84"/>
  <c r="H84"/>
  <c r="K84"/>
  <c r="E85"/>
  <c r="H85"/>
  <c r="K85"/>
  <c r="E86"/>
  <c r="H86"/>
  <c r="K86"/>
  <c r="E87"/>
  <c r="H87"/>
  <c r="K87"/>
  <c r="E88"/>
  <c r="H88"/>
  <c r="K88"/>
  <c r="E89"/>
  <c r="H89"/>
  <c r="K89"/>
  <c r="E90"/>
  <c r="H90"/>
  <c r="K90"/>
  <c r="E91"/>
  <c r="H91"/>
  <c r="K91"/>
  <c r="E92"/>
  <c r="H92"/>
  <c r="K92"/>
  <c r="E93"/>
  <c r="H93"/>
  <c r="K93"/>
  <c r="E94"/>
  <c r="H94"/>
  <c r="K94"/>
  <c r="E95"/>
  <c r="H95"/>
  <c r="K95"/>
  <c r="E96"/>
  <c r="H96"/>
  <c r="K96"/>
  <c r="E97"/>
  <c r="H97"/>
  <c r="K97"/>
  <c r="E98"/>
  <c r="H98"/>
  <c r="K98"/>
  <c r="E99"/>
  <c r="H99"/>
  <c r="K99"/>
  <c r="E100"/>
  <c r="H100"/>
  <c r="K100"/>
  <c r="E101"/>
  <c r="H101"/>
  <c r="K101"/>
  <c r="E102"/>
  <c r="H102"/>
  <c r="K102"/>
  <c r="E103"/>
  <c r="H103"/>
  <c r="K103"/>
  <c r="E104"/>
  <c r="H104"/>
  <c r="K104"/>
  <c r="E105"/>
  <c r="H105"/>
  <c r="K105"/>
  <c r="E106"/>
  <c r="H106"/>
  <c r="H110" s="1"/>
  <c r="K106"/>
  <c r="E107"/>
  <c r="H107"/>
  <c r="K107"/>
  <c r="E109"/>
  <c r="H109"/>
  <c r="K109"/>
  <c r="E110"/>
  <c r="K110"/>
  <c r="E125"/>
  <c r="H125"/>
  <c r="K125"/>
  <c r="E126"/>
  <c r="H126"/>
  <c r="H152" s="1"/>
  <c r="K126"/>
  <c r="E127"/>
  <c r="H127"/>
  <c r="K127"/>
  <c r="E128"/>
  <c r="H128"/>
  <c r="K128"/>
  <c r="E129"/>
  <c r="H129"/>
  <c r="K129"/>
  <c r="E130"/>
  <c r="H130"/>
  <c r="K130"/>
  <c r="E131"/>
  <c r="H131"/>
  <c r="K131"/>
  <c r="E132"/>
  <c r="H132"/>
  <c r="K132"/>
  <c r="E133"/>
  <c r="H133"/>
  <c r="K133"/>
  <c r="E134"/>
  <c r="H134"/>
  <c r="K134"/>
  <c r="E135"/>
  <c r="H135"/>
  <c r="K135"/>
  <c r="E136"/>
  <c r="H136"/>
  <c r="K136"/>
  <c r="E137"/>
  <c r="H137"/>
  <c r="K137"/>
  <c r="E138"/>
  <c r="H138"/>
  <c r="K138"/>
  <c r="E139"/>
  <c r="E153" s="1"/>
  <c r="H139"/>
  <c r="K139"/>
  <c r="K153" s="1"/>
  <c r="E140"/>
  <c r="H140"/>
  <c r="K140"/>
  <c r="E141"/>
  <c r="H141"/>
  <c r="K141"/>
  <c r="E142"/>
  <c r="H142"/>
  <c r="K142"/>
  <c r="E143"/>
  <c r="H143"/>
  <c r="K143"/>
  <c r="E144"/>
  <c r="H144"/>
  <c r="H154" s="1"/>
  <c r="K144"/>
  <c r="E145"/>
  <c r="H145"/>
  <c r="K145"/>
  <c r="E146"/>
  <c r="H146"/>
  <c r="K146"/>
  <c r="E147"/>
  <c r="H147"/>
  <c r="K147"/>
  <c r="E148"/>
  <c r="H148"/>
  <c r="K148"/>
  <c r="E149"/>
  <c r="H149"/>
  <c r="K149"/>
  <c r="E150"/>
  <c r="H150"/>
  <c r="K150"/>
  <c r="E152"/>
  <c r="K152"/>
  <c r="H153"/>
  <c r="E154"/>
  <c r="K154"/>
  <c r="E169"/>
  <c r="H169"/>
  <c r="E170"/>
  <c r="H170"/>
  <c r="E171"/>
  <c r="H171"/>
  <c r="E172"/>
  <c r="H172"/>
  <c r="E173"/>
  <c r="H173"/>
  <c r="E174"/>
  <c r="H174"/>
  <c r="E175"/>
  <c r="H175"/>
  <c r="E176"/>
  <c r="H176"/>
  <c r="E177"/>
  <c r="H177"/>
  <c r="E178"/>
  <c r="H178"/>
  <c r="E179"/>
  <c r="H179"/>
  <c r="E180"/>
  <c r="H180"/>
  <c r="E181"/>
  <c r="H181"/>
  <c r="E182"/>
  <c r="H182"/>
  <c r="K182"/>
  <c r="E183"/>
  <c r="H183"/>
  <c r="K183"/>
  <c r="E184"/>
  <c r="H184"/>
  <c r="H197" s="1"/>
  <c r="K184"/>
  <c r="E185"/>
  <c r="H185"/>
  <c r="K185"/>
  <c r="E186"/>
  <c r="H186"/>
  <c r="K186"/>
  <c r="E187"/>
  <c r="E198" s="1"/>
  <c r="H187"/>
  <c r="K187"/>
  <c r="K198" s="1"/>
  <c r="E188"/>
  <c r="H188"/>
  <c r="K188"/>
  <c r="E189"/>
  <c r="H189"/>
  <c r="K189"/>
  <c r="E190"/>
  <c r="H190"/>
  <c r="K190"/>
  <c r="E191"/>
  <c r="H191"/>
  <c r="K191"/>
  <c r="E192"/>
  <c r="H192"/>
  <c r="K192"/>
  <c r="E193"/>
  <c r="H193"/>
  <c r="K193"/>
  <c r="E194"/>
  <c r="H194"/>
  <c r="K194"/>
  <c r="E196"/>
  <c r="H196"/>
  <c r="E197"/>
  <c r="K197"/>
  <c r="H198"/>
  <c r="E211"/>
  <c r="H211"/>
  <c r="K211"/>
  <c r="E212"/>
  <c r="H212"/>
  <c r="K212"/>
  <c r="E213"/>
  <c r="H213"/>
  <c r="K213"/>
  <c r="E214"/>
  <c r="H214"/>
  <c r="K214"/>
  <c r="E215"/>
  <c r="H215"/>
  <c r="K215"/>
  <c r="E216"/>
  <c r="H216"/>
  <c r="K216"/>
  <c r="E217"/>
  <c r="H217"/>
  <c r="K217"/>
  <c r="E218"/>
  <c r="H218"/>
  <c r="K218"/>
  <c r="E219"/>
  <c r="H219"/>
  <c r="K219"/>
  <c r="E220"/>
  <c r="H220"/>
  <c r="K220"/>
  <c r="E221"/>
  <c r="H221"/>
  <c r="K221"/>
  <c r="E222"/>
  <c r="H222"/>
  <c r="K222"/>
  <c r="E223"/>
  <c r="H223"/>
  <c r="K223"/>
  <c r="E225"/>
  <c r="H225"/>
  <c r="K225"/>
  <c r="E226"/>
  <c r="H226"/>
  <c r="K226"/>
</calcChain>
</file>

<file path=xl/sharedStrings.xml><?xml version="1.0" encoding="utf-8"?>
<sst xmlns="http://schemas.openxmlformats.org/spreadsheetml/2006/main" count="144" uniqueCount="62">
  <si>
    <t>Web Bottleneck Monitoring Report</t>
  </si>
  <si>
    <t>Firewalls</t>
  </si>
  <si>
    <t>Date</t>
  </si>
  <si>
    <t>Peak CPU</t>
  </si>
  <si>
    <t>Time</t>
  </si>
  <si>
    <t>Squid1</t>
  </si>
  <si>
    <t>Squid3</t>
  </si>
  <si>
    <t>Websrvr-100</t>
  </si>
  <si>
    <t>Websrvr-103</t>
  </si>
  <si>
    <t>Performance Statistics</t>
  </si>
  <si>
    <t>Total Sessions</t>
  </si>
  <si>
    <t>Guest</t>
  </si>
  <si>
    <t>Free</t>
  </si>
  <si>
    <t>Paid</t>
  </si>
  <si>
    <t>Total</t>
  </si>
  <si>
    <t>Peak</t>
  </si>
  <si>
    <t>Users</t>
  </si>
  <si>
    <t>Sales</t>
  </si>
  <si>
    <t>Messages</t>
  </si>
  <si>
    <t>Bandwidth</t>
  </si>
  <si>
    <t>21 Mbit</t>
  </si>
  <si>
    <t>25 Mbit</t>
  </si>
  <si>
    <t>29 Mbit</t>
  </si>
  <si>
    <t>Database Servers</t>
  </si>
  <si>
    <t>Sample Apache Web Servers</t>
  </si>
  <si>
    <t>28 Mbit</t>
  </si>
  <si>
    <t>Est Cap.</t>
  </si>
  <si>
    <t>Est Cap</t>
  </si>
  <si>
    <t>Websrvr-106</t>
  </si>
  <si>
    <t>26 Mbit</t>
  </si>
  <si>
    <t>24 Mbit</t>
  </si>
  <si>
    <t>18 Mbit</t>
  </si>
  <si>
    <t>20 Mbit</t>
  </si>
  <si>
    <t>*</t>
  </si>
  <si>
    <t>No Data available for SQUID1</t>
  </si>
  <si>
    <t>27 Mbit</t>
  </si>
  <si>
    <t>Sent</t>
  </si>
  <si>
    <t>Average</t>
  </si>
  <si>
    <t>Average Post Upgrade</t>
  </si>
  <si>
    <t>Average Pre Upgrade</t>
  </si>
  <si>
    <t>22 Mbit</t>
  </si>
  <si>
    <t>Percentage</t>
  </si>
  <si>
    <t>17 Mbit</t>
  </si>
  <si>
    <t>23 Mbit</t>
  </si>
  <si>
    <t>Webdb1p - Administration</t>
  </si>
  <si>
    <t>Webdb3p - IM/Jump User</t>
  </si>
  <si>
    <t>Webdb7p - Manline/Womanline</t>
  </si>
  <si>
    <t>Webdb8p - IM a_Intimate</t>
  </si>
  <si>
    <t>Webdb10p - Session Management</t>
  </si>
  <si>
    <t>Average Pre Split</t>
  </si>
  <si>
    <t>**</t>
  </si>
  <si>
    <t>4 New Apache Servers Installed April 25, 2001</t>
  </si>
  <si>
    <t>+</t>
  </si>
  <si>
    <t>Second Database Split May 8, 2001</t>
  </si>
  <si>
    <t>First Database Split May 3, 2001</t>
  </si>
  <si>
    <t>Webdb9p - A_Dating</t>
  </si>
  <si>
    <t>Webdb4p - A_Romance</t>
  </si>
  <si>
    <t>Webdb2p - Astrology/MyPictures</t>
  </si>
  <si>
    <t>Webdb5p - A_Intimate</t>
  </si>
  <si>
    <t>Average Post Split 1</t>
  </si>
  <si>
    <t>Average Post Split 2</t>
  </si>
  <si>
    <t>19 Mbit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</si>
</sst>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5" fontId="0" fillId="0" borderId="0" xfId="0" applyNumberFormat="1"/>
    <xf numFmtId="20" fontId="0" fillId="0" borderId="0" xfId="0" applyNumberFormat="1"/>
    <xf numFmtId="0" fontId="0" fillId="0" borderId="0" xfId="0" applyBorder="1"/>
    <xf numFmtId="0" fontId="0" fillId="0" borderId="0" xfId="0" applyNumberFormat="1"/>
    <xf numFmtId="20" fontId="0" fillId="0" borderId="0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Alignment="1">
      <alignment horizontal="right"/>
    </xf>
    <xf numFmtId="20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0" fillId="0" borderId="11" xfId="0" applyNumberFormat="1" applyBorder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8"/>
  <sheetViews>
    <sheetView tabSelected="1" workbookViewId="0">
      <selection activeCell="L226" sqref="L226"/>
    </sheetView>
  </sheetViews>
  <sheetFormatPr defaultRowHeight="12.75"/>
  <cols>
    <col min="1" max="1" width="4.140625" customWidth="1"/>
    <col min="2" max="2" width="11.140625" customWidth="1"/>
    <col min="3" max="3" width="11" customWidth="1"/>
    <col min="5" max="5" width="10" customWidth="1"/>
    <col min="6" max="7" width="10.85546875" customWidth="1"/>
    <col min="8" max="8" width="10.5703125" customWidth="1"/>
    <col min="9" max="9" width="9.7109375" customWidth="1"/>
    <col min="10" max="10" width="10.85546875" customWidth="1"/>
    <col min="11" max="11" width="10" customWidth="1"/>
    <col min="12" max="12" width="12.85546875" customWidth="1"/>
    <col min="13" max="13" width="12.140625" customWidth="1"/>
  </cols>
  <sheetData>
    <row r="1" spans="2:12">
      <c r="B1" t="s">
        <v>0</v>
      </c>
    </row>
    <row r="2" spans="2:12">
      <c r="B2" t="s">
        <v>9</v>
      </c>
    </row>
    <row r="3" spans="2:12">
      <c r="B3" s="1"/>
      <c r="C3" s="7" t="s">
        <v>10</v>
      </c>
      <c r="D3" s="8"/>
      <c r="E3" s="8"/>
      <c r="F3" s="9"/>
      <c r="G3" s="3" t="s">
        <v>11</v>
      </c>
      <c r="H3" s="3" t="s">
        <v>14</v>
      </c>
      <c r="I3" s="5" t="s">
        <v>18</v>
      </c>
      <c r="J3" s="3" t="s">
        <v>15</v>
      </c>
      <c r="K3" s="3" t="s">
        <v>15</v>
      </c>
      <c r="L3" s="5" t="s">
        <v>15</v>
      </c>
    </row>
    <row r="4" spans="2:12">
      <c r="B4" s="2" t="s">
        <v>2</v>
      </c>
      <c r="C4" s="10" t="s">
        <v>11</v>
      </c>
      <c r="D4" s="9" t="s">
        <v>12</v>
      </c>
      <c r="E4" s="9" t="s">
        <v>13</v>
      </c>
      <c r="F4" s="9" t="s">
        <v>14</v>
      </c>
      <c r="G4" s="4" t="s">
        <v>41</v>
      </c>
      <c r="H4" s="4" t="s">
        <v>17</v>
      </c>
      <c r="I4" s="6" t="s">
        <v>36</v>
      </c>
      <c r="J4" s="4" t="s">
        <v>19</v>
      </c>
      <c r="K4" s="4" t="s">
        <v>16</v>
      </c>
      <c r="L4" s="6" t="s">
        <v>4</v>
      </c>
    </row>
    <row r="5" spans="2:12">
      <c r="B5" s="11">
        <v>37001</v>
      </c>
      <c r="C5">
        <v>102824</v>
      </c>
      <c r="D5">
        <f>15061+15233</f>
        <v>30294</v>
      </c>
      <c r="E5">
        <f>40224+8426</f>
        <v>48650</v>
      </c>
      <c r="F5">
        <f>SUM(C5:E5)</f>
        <v>181768</v>
      </c>
      <c r="G5" s="16">
        <f>C5/F5*100</f>
        <v>56.568812992385901</v>
      </c>
      <c r="H5">
        <v>21189</v>
      </c>
      <c r="I5">
        <v>328686</v>
      </c>
      <c r="J5" t="s">
        <v>20</v>
      </c>
      <c r="K5">
        <v>7612</v>
      </c>
      <c r="L5" s="12">
        <v>0.6777777777777777</v>
      </c>
    </row>
    <row r="6" spans="2:12">
      <c r="B6" s="11">
        <v>37002</v>
      </c>
      <c r="C6">
        <v>115879</v>
      </c>
      <c r="D6">
        <f>13362+14133</f>
        <v>27495</v>
      </c>
      <c r="E6">
        <f>37237+7943</f>
        <v>45180</v>
      </c>
      <c r="F6">
        <f t="shared" ref="F6:F21" si="0">SUM(C6:E6)</f>
        <v>188554</v>
      </c>
      <c r="G6" s="16">
        <f t="shared" ref="G6:G21" si="1">C6/F6*100</f>
        <v>61.456664934183316</v>
      </c>
      <c r="H6">
        <v>18453</v>
      </c>
      <c r="I6">
        <v>309694</v>
      </c>
      <c r="J6" t="s">
        <v>20</v>
      </c>
      <c r="K6">
        <v>10829</v>
      </c>
      <c r="L6" s="12">
        <v>5.6250000000000001E-2</v>
      </c>
    </row>
    <row r="7" spans="2:12">
      <c r="B7" s="11">
        <v>37003</v>
      </c>
      <c r="C7">
        <v>163884</v>
      </c>
      <c r="D7">
        <f>14473+15330</f>
        <v>29803</v>
      </c>
      <c r="E7">
        <f>40138+8743</f>
        <v>48881</v>
      </c>
      <c r="F7">
        <f t="shared" si="0"/>
        <v>242568</v>
      </c>
      <c r="G7" s="16">
        <f t="shared" si="1"/>
        <v>67.562085683189864</v>
      </c>
      <c r="H7">
        <v>19754</v>
      </c>
      <c r="I7">
        <v>324450</v>
      </c>
      <c r="J7" t="s">
        <v>21</v>
      </c>
      <c r="K7">
        <v>14282</v>
      </c>
      <c r="L7" s="12">
        <v>0.8618055555555556</v>
      </c>
    </row>
    <row r="8" spans="2:12">
      <c r="B8" s="11">
        <v>37004</v>
      </c>
      <c r="C8">
        <v>200885</v>
      </c>
      <c r="D8">
        <f>16242+16398</f>
        <v>32640</v>
      </c>
      <c r="E8">
        <f>43530+9109</f>
        <v>52639</v>
      </c>
      <c r="F8">
        <f t="shared" si="0"/>
        <v>286164</v>
      </c>
      <c r="G8" s="16">
        <f t="shared" si="1"/>
        <v>70.199256370472867</v>
      </c>
      <c r="H8">
        <v>21941</v>
      </c>
      <c r="I8">
        <v>361679</v>
      </c>
      <c r="J8" t="s">
        <v>22</v>
      </c>
      <c r="K8">
        <v>12937</v>
      </c>
      <c r="L8" s="12">
        <v>0.71597222222222223</v>
      </c>
    </row>
    <row r="9" spans="2:12">
      <c r="B9" s="11">
        <v>37005</v>
      </c>
      <c r="C9">
        <v>152456</v>
      </c>
      <c r="D9">
        <f>16919+17051</f>
        <v>33970</v>
      </c>
      <c r="E9">
        <f>44186+9266</f>
        <v>53452</v>
      </c>
      <c r="F9">
        <f t="shared" si="0"/>
        <v>239878</v>
      </c>
      <c r="G9" s="16">
        <f t="shared" si="1"/>
        <v>63.55564078406524</v>
      </c>
      <c r="H9">
        <v>20577</v>
      </c>
      <c r="I9">
        <v>336450</v>
      </c>
      <c r="J9" t="s">
        <v>25</v>
      </c>
      <c r="K9">
        <v>12177</v>
      </c>
      <c r="L9" s="12">
        <v>0.5180555555555556</v>
      </c>
    </row>
    <row r="10" spans="2:12">
      <c r="B10" s="11">
        <v>37006</v>
      </c>
      <c r="C10">
        <f>252206</f>
        <v>252206</v>
      </c>
      <c r="D10">
        <f>15791+16308</f>
        <v>32099</v>
      </c>
      <c r="E10">
        <f>42781+8955</f>
        <v>51736</v>
      </c>
      <c r="F10">
        <f t="shared" si="0"/>
        <v>336041</v>
      </c>
      <c r="G10" s="16">
        <f t="shared" si="1"/>
        <v>75.052151374385872</v>
      </c>
      <c r="H10">
        <v>20188</v>
      </c>
      <c r="I10">
        <v>288375</v>
      </c>
      <c r="J10" t="s">
        <v>29</v>
      </c>
      <c r="K10">
        <v>16227</v>
      </c>
      <c r="L10" s="12">
        <v>0.94166666666666676</v>
      </c>
    </row>
    <row r="11" spans="2:12">
      <c r="B11" s="11">
        <v>37007</v>
      </c>
      <c r="C11">
        <v>177918</v>
      </c>
      <c r="D11">
        <f>14760+15308</f>
        <v>30068</v>
      </c>
      <c r="E11">
        <f>40778+8629</f>
        <v>49407</v>
      </c>
      <c r="F11">
        <f t="shared" si="0"/>
        <v>257393</v>
      </c>
      <c r="G11" s="16">
        <f t="shared" si="1"/>
        <v>69.123091925576844</v>
      </c>
      <c r="H11">
        <v>18838</v>
      </c>
      <c r="I11">
        <v>307584</v>
      </c>
      <c r="J11" t="s">
        <v>30</v>
      </c>
      <c r="K11">
        <v>9000</v>
      </c>
      <c r="L11" s="12">
        <v>0.46875</v>
      </c>
    </row>
    <row r="12" spans="2:12">
      <c r="B12" s="11">
        <v>37008</v>
      </c>
      <c r="C12">
        <v>90906</v>
      </c>
      <c r="D12">
        <f>14461+14974</f>
        <v>29435</v>
      </c>
      <c r="E12">
        <f>39983+8520</f>
        <v>48503</v>
      </c>
      <c r="F12">
        <f t="shared" si="0"/>
        <v>168844</v>
      </c>
      <c r="G12" s="16">
        <f t="shared" si="1"/>
        <v>53.840231219350407</v>
      </c>
      <c r="H12">
        <v>18400</v>
      </c>
      <c r="I12">
        <v>303564</v>
      </c>
      <c r="J12" t="s">
        <v>32</v>
      </c>
      <c r="K12">
        <v>7104</v>
      </c>
      <c r="L12" s="12">
        <v>0.99375000000000002</v>
      </c>
    </row>
    <row r="13" spans="2:12">
      <c r="B13" s="11">
        <v>37009</v>
      </c>
      <c r="C13">
        <v>76938</v>
      </c>
      <c r="D13">
        <f>12698+13747</f>
        <v>26445</v>
      </c>
      <c r="E13">
        <f>36287+7930</f>
        <v>44217</v>
      </c>
      <c r="F13">
        <f t="shared" si="0"/>
        <v>147600</v>
      </c>
      <c r="G13" s="16">
        <f t="shared" si="1"/>
        <v>52.126016260162601</v>
      </c>
      <c r="H13">
        <v>16101</v>
      </c>
      <c r="I13">
        <v>260566</v>
      </c>
      <c r="J13" t="s">
        <v>31</v>
      </c>
      <c r="K13">
        <v>6450</v>
      </c>
      <c r="L13" s="12">
        <v>0.98333333333333339</v>
      </c>
    </row>
    <row r="14" spans="2:12">
      <c r="B14" s="11">
        <v>37010</v>
      </c>
      <c r="C14">
        <v>67161</v>
      </c>
      <c r="D14">
        <f>9708+10054</f>
        <v>19762</v>
      </c>
      <c r="E14">
        <f>26670+5811</f>
        <v>32481</v>
      </c>
      <c r="F14">
        <f t="shared" si="0"/>
        <v>119404</v>
      </c>
      <c r="G14" s="16">
        <f t="shared" si="1"/>
        <v>56.246859401695083</v>
      </c>
      <c r="H14">
        <v>18412</v>
      </c>
      <c r="I14">
        <v>315063</v>
      </c>
      <c r="J14" t="s">
        <v>21</v>
      </c>
      <c r="K14">
        <v>14594</v>
      </c>
      <c r="L14" s="12">
        <v>0.97986111111111107</v>
      </c>
    </row>
    <row r="15" spans="2:12">
      <c r="B15" s="11">
        <v>37011</v>
      </c>
      <c r="C15">
        <v>106981</v>
      </c>
      <c r="D15">
        <f>15452+15652</f>
        <v>31104</v>
      </c>
      <c r="E15">
        <f>42735+9062</f>
        <v>51797</v>
      </c>
      <c r="F15">
        <f t="shared" si="0"/>
        <v>189882</v>
      </c>
      <c r="G15" s="16">
        <f t="shared" si="1"/>
        <v>56.340780063407806</v>
      </c>
      <c r="H15">
        <v>19489</v>
      </c>
      <c r="I15">
        <v>326552</v>
      </c>
      <c r="J15" t="s">
        <v>35</v>
      </c>
      <c r="K15">
        <v>9765</v>
      </c>
      <c r="L15" s="12">
        <v>0.95208333333333339</v>
      </c>
    </row>
    <row r="16" spans="2:12">
      <c r="B16" s="11">
        <v>37012</v>
      </c>
      <c r="C16">
        <v>103632</v>
      </c>
      <c r="D16">
        <f>15542+16105</f>
        <v>31647</v>
      </c>
      <c r="E16">
        <f>42918+9247</f>
        <v>52165</v>
      </c>
      <c r="F16">
        <f t="shared" si="0"/>
        <v>187444</v>
      </c>
      <c r="G16" s="16">
        <f t="shared" si="1"/>
        <v>55.2869123578242</v>
      </c>
      <c r="H16">
        <v>20156</v>
      </c>
      <c r="I16">
        <v>322771</v>
      </c>
      <c r="J16" t="s">
        <v>35</v>
      </c>
      <c r="K16">
        <v>9302</v>
      </c>
      <c r="L16" s="12">
        <v>0.95208333333333339</v>
      </c>
    </row>
    <row r="17" spans="2:12">
      <c r="B17" s="11">
        <v>37013</v>
      </c>
      <c r="C17">
        <v>89213</v>
      </c>
      <c r="D17">
        <f>14805+15721</f>
        <v>30526</v>
      </c>
      <c r="E17">
        <f>42772+9187</f>
        <v>51959</v>
      </c>
      <c r="F17">
        <f t="shared" si="0"/>
        <v>171698</v>
      </c>
      <c r="G17" s="16">
        <f t="shared" si="1"/>
        <v>51.95925403906859</v>
      </c>
      <c r="H17">
        <v>19603</v>
      </c>
      <c r="I17">
        <v>304195</v>
      </c>
      <c r="J17" t="s">
        <v>20</v>
      </c>
      <c r="K17">
        <v>8725</v>
      </c>
      <c r="L17" s="12">
        <v>0.90694444444444444</v>
      </c>
    </row>
    <row r="18" spans="2:12">
      <c r="B18" s="11">
        <v>37014</v>
      </c>
      <c r="C18">
        <v>72596</v>
      </c>
      <c r="D18">
        <f>12540+13706</f>
        <v>26246</v>
      </c>
      <c r="E18">
        <f>37303+7831</f>
        <v>45134</v>
      </c>
      <c r="F18">
        <f t="shared" si="0"/>
        <v>143976</v>
      </c>
      <c r="G18" s="16">
        <f t="shared" si="1"/>
        <v>50.422292604322941</v>
      </c>
      <c r="H18">
        <v>16081</v>
      </c>
      <c r="I18">
        <v>258498</v>
      </c>
      <c r="J18" t="s">
        <v>40</v>
      </c>
      <c r="K18">
        <v>7530</v>
      </c>
      <c r="L18" s="12">
        <v>0.96944444444444444</v>
      </c>
    </row>
    <row r="19" spans="2:12">
      <c r="B19" s="11">
        <v>37015</v>
      </c>
      <c r="C19">
        <v>81853</v>
      </c>
      <c r="D19">
        <f>13607+14988</f>
        <v>28595</v>
      </c>
      <c r="E19">
        <f>40077+8612</f>
        <v>48689</v>
      </c>
      <c r="F19">
        <f t="shared" si="0"/>
        <v>159137</v>
      </c>
      <c r="G19" s="16">
        <f t="shared" si="1"/>
        <v>51.435555527627145</v>
      </c>
      <c r="H19">
        <v>19483</v>
      </c>
      <c r="I19">
        <v>291110</v>
      </c>
      <c r="J19" t="s">
        <v>32</v>
      </c>
      <c r="K19">
        <v>10449</v>
      </c>
      <c r="L19" s="12">
        <v>0.97222222222222221</v>
      </c>
    </row>
    <row r="20" spans="2:12">
      <c r="B20" s="11">
        <v>37016</v>
      </c>
      <c r="C20">
        <v>71989</v>
      </c>
      <c r="D20">
        <f>11573+13607</f>
        <v>25180</v>
      </c>
      <c r="E20">
        <f>35983+8001</f>
        <v>43984</v>
      </c>
      <c r="F20">
        <f t="shared" si="0"/>
        <v>141153</v>
      </c>
      <c r="G20" s="16">
        <f t="shared" si="1"/>
        <v>51.000687197579929</v>
      </c>
      <c r="H20">
        <v>17416</v>
      </c>
      <c r="I20">
        <v>271776</v>
      </c>
      <c r="J20" t="s">
        <v>42</v>
      </c>
      <c r="K20">
        <v>6553</v>
      </c>
      <c r="L20" s="12">
        <v>0.97569444444444453</v>
      </c>
    </row>
    <row r="21" spans="2:12">
      <c r="B21" s="11">
        <v>37017</v>
      </c>
      <c r="C21">
        <v>82271</v>
      </c>
      <c r="D21">
        <f>12685+14801</f>
        <v>27486</v>
      </c>
      <c r="E21">
        <f>38606+8570</f>
        <v>47176</v>
      </c>
      <c r="F21">
        <f t="shared" si="0"/>
        <v>156933</v>
      </c>
      <c r="G21" s="16">
        <f t="shared" si="1"/>
        <v>52.424282974262901</v>
      </c>
      <c r="H21">
        <v>18478</v>
      </c>
      <c r="I21">
        <v>301528</v>
      </c>
      <c r="J21" t="s">
        <v>43</v>
      </c>
      <c r="K21">
        <v>7468</v>
      </c>
      <c r="L21" s="12">
        <v>0.97916666666666663</v>
      </c>
    </row>
    <row r="22" spans="2:12">
      <c r="B22" s="11">
        <v>37018</v>
      </c>
      <c r="C22">
        <v>81156</v>
      </c>
      <c r="D22">
        <v>30354</v>
      </c>
      <c r="E22">
        <v>52582</v>
      </c>
      <c r="F22">
        <f t="shared" ref="F22:F28" si="2">SUM(C22:E22)</f>
        <v>164092</v>
      </c>
      <c r="G22" s="16">
        <f t="shared" ref="G22:G28" si="3">C22/F22*100</f>
        <v>49.4576213343734</v>
      </c>
      <c r="H22">
        <v>20477</v>
      </c>
      <c r="I22">
        <v>316709</v>
      </c>
      <c r="J22" t="s">
        <v>35</v>
      </c>
      <c r="K22">
        <v>9285</v>
      </c>
      <c r="L22" s="12">
        <v>0.96875</v>
      </c>
    </row>
    <row r="23" spans="2:12">
      <c r="B23" s="11">
        <v>37019</v>
      </c>
      <c r="C23">
        <v>90941</v>
      </c>
      <c r="D23">
        <v>29577</v>
      </c>
      <c r="E23">
        <v>49030</v>
      </c>
      <c r="F23">
        <f t="shared" si="2"/>
        <v>169548</v>
      </c>
      <c r="G23" s="16">
        <f t="shared" si="3"/>
        <v>53.637318045627204</v>
      </c>
      <c r="H23">
        <v>19847</v>
      </c>
      <c r="I23">
        <v>305729</v>
      </c>
      <c r="J23" t="s">
        <v>29</v>
      </c>
      <c r="K23">
        <v>8940</v>
      </c>
      <c r="L23" s="12">
        <v>0.94791666666666663</v>
      </c>
    </row>
    <row r="24" spans="2:12">
      <c r="B24" s="11">
        <v>37020</v>
      </c>
      <c r="C24">
        <v>86033</v>
      </c>
      <c r="D24">
        <v>32099</v>
      </c>
      <c r="E24">
        <v>52104</v>
      </c>
      <c r="F24">
        <f t="shared" si="2"/>
        <v>170236</v>
      </c>
      <c r="G24" s="16">
        <f t="shared" si="3"/>
        <v>50.537489132733384</v>
      </c>
      <c r="H24">
        <v>19799</v>
      </c>
      <c r="I24">
        <v>295536</v>
      </c>
      <c r="J24" t="s">
        <v>21</v>
      </c>
      <c r="K24">
        <v>8242</v>
      </c>
      <c r="L24" s="12">
        <v>0.93055555555555547</v>
      </c>
    </row>
    <row r="25" spans="2:12">
      <c r="B25" s="11">
        <v>37021</v>
      </c>
      <c r="C25">
        <v>104120</v>
      </c>
      <c r="D25">
        <v>30914</v>
      </c>
      <c r="E25">
        <v>51108</v>
      </c>
      <c r="F25">
        <f t="shared" si="2"/>
        <v>186142</v>
      </c>
      <c r="G25" s="16">
        <f t="shared" si="3"/>
        <v>55.935790955292198</v>
      </c>
      <c r="H25">
        <v>20527</v>
      </c>
      <c r="I25">
        <v>308234</v>
      </c>
      <c r="J25" t="s">
        <v>30</v>
      </c>
      <c r="K25">
        <v>9803</v>
      </c>
      <c r="L25" s="12">
        <v>0.61805555555555558</v>
      </c>
    </row>
    <row r="26" spans="2:12">
      <c r="B26" s="11">
        <v>37022</v>
      </c>
      <c r="C26">
        <v>87400</v>
      </c>
      <c r="D26">
        <v>30091</v>
      </c>
      <c r="E26">
        <v>49672</v>
      </c>
      <c r="F26">
        <f t="shared" si="2"/>
        <v>167163</v>
      </c>
      <c r="G26" s="16">
        <f t="shared" si="3"/>
        <v>52.284297362454609</v>
      </c>
      <c r="H26">
        <v>19480</v>
      </c>
      <c r="I26">
        <v>311055</v>
      </c>
      <c r="J26" t="s">
        <v>20</v>
      </c>
      <c r="K26">
        <v>7579</v>
      </c>
      <c r="L26" s="12">
        <v>0.96805555555555556</v>
      </c>
    </row>
    <row r="27" spans="2:12">
      <c r="B27" s="11">
        <v>37023</v>
      </c>
      <c r="C27">
        <v>80259</v>
      </c>
      <c r="D27">
        <v>27248</v>
      </c>
      <c r="E27">
        <v>44971</v>
      </c>
      <c r="F27">
        <f t="shared" si="2"/>
        <v>152478</v>
      </c>
      <c r="G27" s="16">
        <f t="shared" si="3"/>
        <v>52.636445913508837</v>
      </c>
      <c r="H27">
        <v>18613</v>
      </c>
      <c r="I27">
        <v>291161</v>
      </c>
      <c r="J27" t="s">
        <v>61</v>
      </c>
      <c r="K27">
        <v>6932</v>
      </c>
      <c r="L27" s="12">
        <v>0.90902777777777777</v>
      </c>
    </row>
    <row r="28" spans="2:12">
      <c r="B28" s="11">
        <v>37024</v>
      </c>
      <c r="C28">
        <v>89478</v>
      </c>
      <c r="D28">
        <v>27775</v>
      </c>
      <c r="E28">
        <v>47605</v>
      </c>
      <c r="F28">
        <f t="shared" si="2"/>
        <v>164858</v>
      </c>
      <c r="G28" s="16">
        <f t="shared" si="3"/>
        <v>54.275800992369192</v>
      </c>
      <c r="H28">
        <v>18996</v>
      </c>
      <c r="I28">
        <v>297772</v>
      </c>
      <c r="J28" t="s">
        <v>29</v>
      </c>
      <c r="K28">
        <v>8993</v>
      </c>
      <c r="L28" s="12">
        <v>0.95763888888888893</v>
      </c>
    </row>
    <row r="29" spans="2:12">
      <c r="B29" s="11">
        <v>37025</v>
      </c>
      <c r="C29">
        <v>104278</v>
      </c>
      <c r="D29">
        <v>33079</v>
      </c>
      <c r="E29">
        <v>54303</v>
      </c>
      <c r="F29">
        <f>SUM(C29:E29)</f>
        <v>191660</v>
      </c>
      <c r="G29" s="16">
        <f>C29/F29*100</f>
        <v>54.407805488886574</v>
      </c>
      <c r="H29">
        <v>22339</v>
      </c>
      <c r="I29">
        <v>353284</v>
      </c>
      <c r="J29" t="s">
        <v>22</v>
      </c>
      <c r="K29">
        <v>10316</v>
      </c>
      <c r="L29" s="12">
        <v>0.96111111111111114</v>
      </c>
    </row>
    <row r="30" spans="2:12">
      <c r="B30" s="11">
        <v>37026</v>
      </c>
      <c r="C30">
        <v>114057</v>
      </c>
      <c r="D30">
        <v>33360</v>
      </c>
      <c r="E30">
        <v>53330</v>
      </c>
      <c r="F30">
        <f>SUM(C30:E30)</f>
        <v>200747</v>
      </c>
      <c r="G30" s="16">
        <f>C30/F30*100</f>
        <v>56.81629115254524</v>
      </c>
      <c r="H30">
        <v>23108</v>
      </c>
      <c r="I30">
        <v>339618</v>
      </c>
      <c r="J30" t="s">
        <v>25</v>
      </c>
      <c r="K30">
        <v>9504</v>
      </c>
      <c r="L30" s="12">
        <v>0.9194444444444444</v>
      </c>
    </row>
    <row r="31" spans="2:12">
      <c r="B31" s="11"/>
    </row>
    <row r="32" spans="2:12">
      <c r="B32" s="11"/>
    </row>
    <row r="33" spans="1:8">
      <c r="B33" s="11"/>
    </row>
    <row r="34" spans="1:8">
      <c r="B34" s="11"/>
    </row>
    <row r="35" spans="1:8">
      <c r="B35" s="11"/>
    </row>
    <row r="36" spans="1:8">
      <c r="B36" s="11"/>
    </row>
    <row r="37" spans="1:8">
      <c r="B37" t="s">
        <v>1</v>
      </c>
    </row>
    <row r="38" spans="1:8">
      <c r="B38" s="1"/>
      <c r="C38" s="7" t="s">
        <v>5</v>
      </c>
      <c r="D38" s="8"/>
      <c r="E38" s="8"/>
      <c r="F38" s="7" t="s">
        <v>6</v>
      </c>
      <c r="G38" s="8"/>
      <c r="H38" s="9"/>
    </row>
    <row r="39" spans="1:8">
      <c r="B39" s="2" t="s">
        <v>2</v>
      </c>
      <c r="C39" s="10" t="s">
        <v>3</v>
      </c>
      <c r="D39" s="9" t="s">
        <v>4</v>
      </c>
      <c r="E39" s="9" t="s">
        <v>26</v>
      </c>
      <c r="F39" s="9" t="s">
        <v>3</v>
      </c>
      <c r="G39" s="10" t="s">
        <v>4</v>
      </c>
      <c r="H39" s="9" t="s">
        <v>27</v>
      </c>
    </row>
    <row r="40" spans="1:8">
      <c r="A40" s="19" t="s">
        <v>50</v>
      </c>
      <c r="B40" s="11">
        <v>37001</v>
      </c>
      <c r="F40">
        <v>49</v>
      </c>
      <c r="G40" s="12">
        <v>0.625</v>
      </c>
      <c r="H40" s="16">
        <f>6119*100/F40</f>
        <v>12487.755102040815</v>
      </c>
    </row>
    <row r="41" spans="1:8">
      <c r="A41" s="19" t="s">
        <v>50</v>
      </c>
      <c r="B41" s="11">
        <v>37002</v>
      </c>
      <c r="F41">
        <v>37</v>
      </c>
      <c r="G41" s="12">
        <v>3.472222222222222E-3</v>
      </c>
      <c r="H41" s="16">
        <f>7454*100/F41</f>
        <v>20145.945945945947</v>
      </c>
    </row>
    <row r="42" spans="1:8">
      <c r="A42" s="19" t="s">
        <v>50</v>
      </c>
      <c r="B42" s="11">
        <v>37003</v>
      </c>
      <c r="F42">
        <v>47</v>
      </c>
      <c r="G42" s="12">
        <v>0.91666666666666663</v>
      </c>
      <c r="H42" s="16">
        <f>13164*100/F42</f>
        <v>28008.510638297874</v>
      </c>
    </row>
    <row r="43" spans="1:8">
      <c r="A43" s="19"/>
      <c r="B43" s="11">
        <v>37004</v>
      </c>
      <c r="C43">
        <v>49</v>
      </c>
      <c r="D43" s="12">
        <v>0.93611111111111101</v>
      </c>
      <c r="E43" s="16">
        <f>10805*100/C43</f>
        <v>22051.020408163266</v>
      </c>
      <c r="F43">
        <v>53</v>
      </c>
      <c r="G43" s="12">
        <v>0.93402777777777779</v>
      </c>
      <c r="H43" s="16">
        <f>9095*100/F43</f>
        <v>17160.377358490565</v>
      </c>
    </row>
    <row r="44" spans="1:8">
      <c r="A44" s="19"/>
      <c r="B44" s="11">
        <v>37005</v>
      </c>
      <c r="C44">
        <v>63</v>
      </c>
      <c r="D44" s="12">
        <v>0.94652777777777775</v>
      </c>
      <c r="E44" s="16">
        <f>9084*100/C44</f>
        <v>14419.047619047618</v>
      </c>
      <c r="F44">
        <v>57</v>
      </c>
      <c r="G44" s="12">
        <v>0.93402777777777779</v>
      </c>
      <c r="H44" s="16">
        <f>9436*100/F44</f>
        <v>16554.385964912282</v>
      </c>
    </row>
    <row r="45" spans="1:8">
      <c r="A45" s="19"/>
      <c r="B45" s="11">
        <v>37006</v>
      </c>
      <c r="C45">
        <v>39</v>
      </c>
      <c r="D45" s="12">
        <v>0.92222222222222217</v>
      </c>
      <c r="E45" s="16">
        <f>15824*100/C45</f>
        <v>40574.358974358976</v>
      </c>
      <c r="F45">
        <v>51</v>
      </c>
      <c r="G45" s="12">
        <v>0.73263888888888884</v>
      </c>
      <c r="H45" s="16">
        <f>7298*100/F45</f>
        <v>14309.803921568628</v>
      </c>
    </row>
    <row r="46" spans="1:8">
      <c r="A46" s="19"/>
      <c r="B46" s="11">
        <v>37007</v>
      </c>
      <c r="C46">
        <v>42</v>
      </c>
      <c r="D46" s="12">
        <v>0.91874999999999996</v>
      </c>
      <c r="E46" s="16">
        <f>8100*100/C46</f>
        <v>19285.714285714286</v>
      </c>
      <c r="F46">
        <v>47</v>
      </c>
      <c r="G46" s="12">
        <v>0.70486111111111116</v>
      </c>
      <c r="H46" s="16">
        <f>7100*100/F46</f>
        <v>15106.382978723404</v>
      </c>
    </row>
    <row r="47" spans="1:8">
      <c r="A47" s="19"/>
      <c r="B47" s="11">
        <v>37008</v>
      </c>
      <c r="C47">
        <v>40</v>
      </c>
      <c r="D47" s="12">
        <v>0.95</v>
      </c>
      <c r="E47" s="16">
        <f>6768*100/C47</f>
        <v>16920</v>
      </c>
      <c r="F47">
        <v>42</v>
      </c>
      <c r="G47" s="12">
        <v>0.74652777777777779</v>
      </c>
      <c r="H47" s="16">
        <f>6199*100/F47</f>
        <v>14759.523809523809</v>
      </c>
    </row>
    <row r="48" spans="1:8">
      <c r="B48" s="11">
        <v>37009</v>
      </c>
      <c r="C48">
        <v>37</v>
      </c>
      <c r="D48" s="12">
        <v>0.69305555555555554</v>
      </c>
      <c r="E48" s="16">
        <f>5380*100/C48</f>
        <v>14540.54054054054</v>
      </c>
      <c r="F48">
        <v>37</v>
      </c>
      <c r="G48" s="12">
        <v>0.96875</v>
      </c>
      <c r="H48" s="16">
        <f>6325*100/F48</f>
        <v>17094.594594594593</v>
      </c>
    </row>
    <row r="49" spans="1:8">
      <c r="B49" s="11">
        <v>37010</v>
      </c>
      <c r="C49">
        <v>33</v>
      </c>
      <c r="D49" s="12">
        <v>0.97430555555555554</v>
      </c>
      <c r="E49" s="21">
        <f>14559*100/C49</f>
        <v>44118.181818181816</v>
      </c>
      <c r="F49">
        <v>44</v>
      </c>
      <c r="G49" s="12">
        <v>0.97569444444444453</v>
      </c>
      <c r="H49" s="21">
        <f>14559*100/F49</f>
        <v>33088.63636363636</v>
      </c>
    </row>
    <row r="50" spans="1:8">
      <c r="B50" s="11">
        <v>37011</v>
      </c>
      <c r="C50">
        <v>58</v>
      </c>
      <c r="D50" s="12">
        <v>0.94861111111111107</v>
      </c>
      <c r="E50" s="21">
        <f>9678*100/C50</f>
        <v>16686.206896551725</v>
      </c>
      <c r="F50">
        <v>55</v>
      </c>
      <c r="G50" s="12">
        <v>0.96180555555555547</v>
      </c>
      <c r="H50" s="21">
        <f>9680*100/F50</f>
        <v>17600</v>
      </c>
    </row>
    <row r="51" spans="1:8">
      <c r="B51" s="11">
        <v>37012</v>
      </c>
      <c r="C51">
        <v>47</v>
      </c>
      <c r="D51" s="12">
        <v>0.60833333333333328</v>
      </c>
      <c r="E51" s="21">
        <f>6505*100/C51</f>
        <v>13840.425531914894</v>
      </c>
      <c r="F51">
        <v>48</v>
      </c>
      <c r="G51" s="12">
        <v>0.95486111111111116</v>
      </c>
      <c r="H51" s="21">
        <f>9170*100/F51</f>
        <v>19104.166666666668</v>
      </c>
    </row>
    <row r="52" spans="1:8">
      <c r="B52" s="11">
        <v>37013</v>
      </c>
      <c r="C52">
        <v>55</v>
      </c>
      <c r="D52" s="12">
        <v>0.98333333333333339</v>
      </c>
      <c r="E52" s="21">
        <f>7900*100/C52</f>
        <v>14363.636363636364</v>
      </c>
      <c r="F52">
        <v>53</v>
      </c>
      <c r="G52" s="12">
        <v>0.98263888888888884</v>
      </c>
      <c r="H52" s="21">
        <f>7900*100/F52</f>
        <v>14905.66037735849</v>
      </c>
    </row>
    <row r="53" spans="1:8">
      <c r="A53" s="19"/>
      <c r="B53" s="11">
        <v>37014</v>
      </c>
      <c r="C53">
        <v>76</v>
      </c>
      <c r="D53" s="12">
        <v>0.65416666666666667</v>
      </c>
      <c r="E53" s="21">
        <f>5929*100/C53</f>
        <v>7801.3157894736842</v>
      </c>
      <c r="F53">
        <v>41</v>
      </c>
      <c r="G53" s="12">
        <v>0.71527777777777779</v>
      </c>
      <c r="H53" s="21">
        <f>5964*100/F53</f>
        <v>14546.341463414634</v>
      </c>
    </row>
    <row r="54" spans="1:8">
      <c r="B54" s="11">
        <v>37015</v>
      </c>
      <c r="C54">
        <v>51</v>
      </c>
      <c r="D54" s="12">
        <v>0.76527777777777783</v>
      </c>
      <c r="E54" s="21">
        <f>6190*100/C54</f>
        <v>12137.254901960785</v>
      </c>
      <c r="F54">
        <v>37</v>
      </c>
      <c r="G54" s="12">
        <v>0.91666666666666663</v>
      </c>
      <c r="H54" s="21">
        <f>6607*100/F54</f>
        <v>17856.756756756757</v>
      </c>
    </row>
    <row r="55" spans="1:8">
      <c r="B55" s="11">
        <v>37016</v>
      </c>
      <c r="C55">
        <v>36</v>
      </c>
      <c r="D55" s="12">
        <v>0.93541666666666667</v>
      </c>
      <c r="E55" s="21">
        <f>6088*100/C55</f>
        <v>16911.111111111109</v>
      </c>
      <c r="F55">
        <v>32</v>
      </c>
      <c r="G55" s="12">
        <v>0.93402777777777779</v>
      </c>
      <c r="H55" s="21">
        <f>6002*100/F55</f>
        <v>18756.25</v>
      </c>
    </row>
    <row r="56" spans="1:8">
      <c r="B56" s="11">
        <v>37017</v>
      </c>
      <c r="C56">
        <v>32</v>
      </c>
      <c r="D56" s="12">
        <v>0.95972222222222225</v>
      </c>
      <c r="E56" s="21">
        <f>7269*100/C56</f>
        <v>22715.625</v>
      </c>
      <c r="F56">
        <v>47</v>
      </c>
      <c r="G56" s="12">
        <v>0.79513888888888884</v>
      </c>
      <c r="H56" s="21">
        <f>6172*100/F56</f>
        <v>13131.91489361702</v>
      </c>
    </row>
    <row r="57" spans="1:8">
      <c r="B57" s="11">
        <v>37018</v>
      </c>
      <c r="C57">
        <v>46</v>
      </c>
      <c r="D57" s="12">
        <v>0.93472222222222223</v>
      </c>
      <c r="E57" s="21">
        <f>8428*100/C57</f>
        <v>18321.739130434784</v>
      </c>
      <c r="F57">
        <v>52</v>
      </c>
      <c r="G57" s="12">
        <v>0.94444444444444453</v>
      </c>
      <c r="H57" s="21">
        <f>8461*100/F57</f>
        <v>16271.153846153846</v>
      </c>
    </row>
    <row r="58" spans="1:8">
      <c r="B58" s="11">
        <v>37019</v>
      </c>
      <c r="C58">
        <v>40</v>
      </c>
      <c r="D58" s="12">
        <v>0.91736111111111107</v>
      </c>
      <c r="E58" s="21">
        <f>8461*100/C58</f>
        <v>21152.5</v>
      </c>
      <c r="F58">
        <v>53</v>
      </c>
      <c r="G58" s="12">
        <v>0.80555555555555547</v>
      </c>
      <c r="H58" s="21">
        <f>7427*100/F58</f>
        <v>14013.207547169812</v>
      </c>
    </row>
    <row r="59" spans="1:8">
      <c r="B59" s="11">
        <v>37020</v>
      </c>
      <c r="C59">
        <v>49</v>
      </c>
      <c r="D59" s="12">
        <v>0.72777777777777775</v>
      </c>
      <c r="E59" s="21">
        <f>6824*100/C59</f>
        <v>13926.530612244898</v>
      </c>
      <c r="F59">
        <v>46</v>
      </c>
      <c r="G59" s="12">
        <v>0.93402777777777779</v>
      </c>
      <c r="H59" s="21">
        <f>8174*100/F59</f>
        <v>17769.565217391304</v>
      </c>
    </row>
    <row r="60" spans="1:8">
      <c r="B60" s="11">
        <v>37021</v>
      </c>
      <c r="C60">
        <v>41</v>
      </c>
      <c r="D60" s="12">
        <v>0.94305555555555554</v>
      </c>
      <c r="E60" s="21">
        <f>7806*100/C60</f>
        <v>19039.024390243903</v>
      </c>
      <c r="F60">
        <v>42</v>
      </c>
      <c r="G60" s="12">
        <v>0.95833333333333337</v>
      </c>
      <c r="H60" s="21">
        <f>8055*100/F60</f>
        <v>19178.571428571428</v>
      </c>
    </row>
    <row r="61" spans="1:8">
      <c r="B61" s="11">
        <v>37022</v>
      </c>
      <c r="C61">
        <v>40</v>
      </c>
      <c r="D61" s="12">
        <v>0.96388888888888891</v>
      </c>
      <c r="E61" s="21">
        <f>7524*100/C61</f>
        <v>18810</v>
      </c>
      <c r="F61">
        <v>38</v>
      </c>
      <c r="G61" s="12">
        <v>0.95833333333333337</v>
      </c>
      <c r="H61" s="21">
        <f>7297*100/F61</f>
        <v>19202.63157894737</v>
      </c>
    </row>
    <row r="62" spans="1:8">
      <c r="B62" s="11">
        <v>37023</v>
      </c>
      <c r="C62">
        <v>41</v>
      </c>
      <c r="D62" s="12">
        <v>0.93263888888888891</v>
      </c>
      <c r="E62" s="21">
        <f>6476*100/C62</f>
        <v>15795.121951219513</v>
      </c>
      <c r="F62">
        <v>42</v>
      </c>
      <c r="G62" s="12">
        <v>0.68055555555555547</v>
      </c>
      <c r="H62" s="21">
        <f>5997*100/F62</f>
        <v>14278.571428571429</v>
      </c>
    </row>
    <row r="63" spans="1:8">
      <c r="B63" s="11">
        <v>37024</v>
      </c>
      <c r="C63">
        <v>37</v>
      </c>
      <c r="D63" s="12">
        <v>0.94652777777777775</v>
      </c>
      <c r="E63" s="21">
        <f>8591*100/C63</f>
        <v>23218.91891891892</v>
      </c>
      <c r="F63">
        <v>48</v>
      </c>
      <c r="G63" s="12">
        <v>0.95486111111111116</v>
      </c>
      <c r="H63" s="21">
        <f>8993*100/F63</f>
        <v>18735.416666666668</v>
      </c>
    </row>
    <row r="64" spans="1:8">
      <c r="B64" s="11">
        <v>37025</v>
      </c>
      <c r="C64">
        <v>54</v>
      </c>
      <c r="D64" s="12">
        <v>0.9868055555555556</v>
      </c>
      <c r="E64" s="21">
        <f>9450*100/C64</f>
        <v>17500</v>
      </c>
      <c r="F64">
        <v>53</v>
      </c>
      <c r="G64" s="12">
        <v>0.82638888888888884</v>
      </c>
      <c r="H64" s="21">
        <f>7737*100/F64</f>
        <v>14598.113207547171</v>
      </c>
    </row>
    <row r="65" spans="1:11">
      <c r="B65" s="11">
        <v>37026</v>
      </c>
      <c r="C65">
        <v>49</v>
      </c>
      <c r="D65" s="12">
        <v>0.88263888888888886</v>
      </c>
      <c r="E65" s="21">
        <f>8590*100/C65</f>
        <v>17530.612244897959</v>
      </c>
      <c r="F65">
        <v>49</v>
      </c>
      <c r="G65" s="12">
        <v>0.93402777777777779</v>
      </c>
      <c r="H65" s="21">
        <f>9130*100/F65</f>
        <v>18632.65306122449</v>
      </c>
    </row>
    <row r="66" spans="1:11">
      <c r="B66" s="11"/>
      <c r="D66" s="12"/>
      <c r="E66" s="21"/>
      <c r="G66" s="12"/>
      <c r="H66" s="21"/>
    </row>
    <row r="67" spans="1:11">
      <c r="B67" s="11"/>
      <c r="D67" s="19" t="s">
        <v>37</v>
      </c>
      <c r="E67" s="22">
        <f>AVERAGE(E43:E65)</f>
        <v>19202.5602821137</v>
      </c>
      <c r="G67" s="14"/>
      <c r="H67" s="22">
        <f>AVERAGE(H40:H65)</f>
        <v>17588.341954530439</v>
      </c>
    </row>
    <row r="68" spans="1:11">
      <c r="B68" s="11"/>
      <c r="D68" s="19"/>
      <c r="E68" s="21"/>
      <c r="G68" s="14"/>
      <c r="H68" s="21"/>
    </row>
    <row r="69" spans="1:11">
      <c r="A69" s="19" t="s">
        <v>50</v>
      </c>
      <c r="B69" s="11" t="s">
        <v>34</v>
      </c>
      <c r="G69" s="14"/>
      <c r="H69" s="16"/>
    </row>
    <row r="70" spans="1:11">
      <c r="B70" s="11"/>
      <c r="G70" s="14"/>
      <c r="H70" s="16"/>
    </row>
    <row r="71" spans="1:11">
      <c r="H71" s="16"/>
    </row>
    <row r="72" spans="1:11">
      <c r="H72" s="16"/>
    </row>
    <row r="73" spans="1:11">
      <c r="H73" s="16"/>
    </row>
    <row r="74" spans="1:11">
      <c r="H74" s="16"/>
    </row>
    <row r="75" spans="1:11">
      <c r="H75" s="16"/>
    </row>
    <row r="76" spans="1:11">
      <c r="H76" s="16"/>
    </row>
    <row r="77" spans="1:11">
      <c r="H77" s="16"/>
    </row>
    <row r="78" spans="1:11">
      <c r="H78" s="16"/>
    </row>
    <row r="79" spans="1:11">
      <c r="B79" t="s">
        <v>24</v>
      </c>
      <c r="H79" s="16"/>
    </row>
    <row r="80" spans="1:11">
      <c r="B80" s="1"/>
      <c r="C80" s="7" t="s">
        <v>7</v>
      </c>
      <c r="D80" s="8"/>
      <c r="E80" s="8"/>
      <c r="F80" s="7" t="s">
        <v>8</v>
      </c>
      <c r="G80" s="8"/>
      <c r="H80" s="17"/>
      <c r="I80" s="7" t="s">
        <v>28</v>
      </c>
      <c r="J80" s="8"/>
      <c r="K80" s="9"/>
    </row>
    <row r="81" spans="1:12">
      <c r="B81" s="2" t="s">
        <v>2</v>
      </c>
      <c r="C81" s="10" t="s">
        <v>3</v>
      </c>
      <c r="D81" s="9" t="s">
        <v>4</v>
      </c>
      <c r="E81" s="9" t="s">
        <v>26</v>
      </c>
      <c r="F81" s="9" t="s">
        <v>3</v>
      </c>
      <c r="G81" s="10" t="s">
        <v>4</v>
      </c>
      <c r="H81" s="18" t="s">
        <v>27</v>
      </c>
      <c r="I81" s="9" t="s">
        <v>3</v>
      </c>
      <c r="J81" s="10" t="s">
        <v>4</v>
      </c>
      <c r="K81" s="9" t="s">
        <v>27</v>
      </c>
    </row>
    <row r="82" spans="1:12">
      <c r="B82" s="11">
        <v>37001</v>
      </c>
      <c r="C82" s="13">
        <v>56</v>
      </c>
      <c r="D82" s="15">
        <v>0.95972222222222225</v>
      </c>
      <c r="E82" s="16">
        <f>7454*100/C82</f>
        <v>13310.714285714286</v>
      </c>
      <c r="F82" s="13">
        <v>54</v>
      </c>
      <c r="G82" s="15">
        <v>0.52222222222222225</v>
      </c>
      <c r="H82" s="16">
        <f>7461*100/F82</f>
        <v>13816.666666666666</v>
      </c>
      <c r="I82" s="13">
        <v>55</v>
      </c>
      <c r="J82" s="15">
        <v>0.96666666666666667</v>
      </c>
      <c r="K82" s="16">
        <f>7398*100/I82</f>
        <v>13450.90909090909</v>
      </c>
    </row>
    <row r="83" spans="1:12">
      <c r="B83" s="11">
        <v>37002</v>
      </c>
      <c r="C83" s="13">
        <v>52</v>
      </c>
      <c r="D83" s="15">
        <v>0.99444444444444446</v>
      </c>
      <c r="E83" s="16">
        <f>8436*100/C83</f>
        <v>16223.076923076924</v>
      </c>
      <c r="F83" s="13">
        <v>54</v>
      </c>
      <c r="G83" s="15">
        <v>0.96666666666666667</v>
      </c>
      <c r="H83" s="16">
        <f>6875*100/F83</f>
        <v>12731.481481481482</v>
      </c>
      <c r="I83" s="13">
        <v>53</v>
      </c>
      <c r="J83" s="15">
        <v>0.97013888888888899</v>
      </c>
      <c r="K83" s="16">
        <f>6856*100/I83</f>
        <v>12935.849056603774</v>
      </c>
    </row>
    <row r="84" spans="1:12">
      <c r="B84" s="11">
        <v>37003</v>
      </c>
      <c r="C84" s="13">
        <v>72</v>
      </c>
      <c r="D84" s="15">
        <v>0.93888888888888899</v>
      </c>
      <c r="E84" s="16">
        <f>12989*100/C84</f>
        <v>18040.277777777777</v>
      </c>
      <c r="F84" s="13">
        <v>70</v>
      </c>
      <c r="G84" s="15">
        <v>0.95277777777777783</v>
      </c>
      <c r="H84" s="16">
        <f>13186*100/F84</f>
        <v>18837.142857142859</v>
      </c>
      <c r="I84" s="13">
        <v>68</v>
      </c>
      <c r="J84" s="15">
        <v>0.89375000000000004</v>
      </c>
      <c r="K84" s="16">
        <f>12208*100/I84</f>
        <v>17952.941176470587</v>
      </c>
      <c r="L84" s="16"/>
    </row>
    <row r="85" spans="1:12">
      <c r="B85" s="11">
        <v>37004</v>
      </c>
      <c r="C85" s="13">
        <v>76</v>
      </c>
      <c r="D85" s="15">
        <v>0.51875000000000004</v>
      </c>
      <c r="E85" s="16">
        <f>6518*100/C85</f>
        <v>8576.3157894736851</v>
      </c>
      <c r="F85" s="13">
        <v>82</v>
      </c>
      <c r="G85" s="15">
        <v>0.57777777777777783</v>
      </c>
      <c r="H85" s="16">
        <f>7057*100/F85</f>
        <v>8606.0975609756097</v>
      </c>
      <c r="I85" s="13">
        <v>85</v>
      </c>
      <c r="J85" s="15">
        <v>0.64027777777777783</v>
      </c>
      <c r="K85" s="16">
        <f>7195*100/I85</f>
        <v>8464.7058823529405</v>
      </c>
    </row>
    <row r="86" spans="1:12">
      <c r="B86" s="11">
        <v>37005</v>
      </c>
      <c r="C86" s="13">
        <v>82</v>
      </c>
      <c r="D86" s="15">
        <v>0.56388888888888888</v>
      </c>
      <c r="E86" s="16">
        <f>7862*100/C86</f>
        <v>9587.8048780487807</v>
      </c>
      <c r="F86" s="13">
        <v>56</v>
      </c>
      <c r="G86" s="15">
        <v>0.73055555555555562</v>
      </c>
      <c r="H86" s="16">
        <f>8016*100/F86</f>
        <v>14314.285714285714</v>
      </c>
      <c r="I86" s="13">
        <v>100</v>
      </c>
      <c r="J86" s="15">
        <v>0.83819444444444446</v>
      </c>
      <c r="K86" s="16">
        <f>8502*100/I86</f>
        <v>8502</v>
      </c>
    </row>
    <row r="87" spans="1:12">
      <c r="A87" s="19" t="s">
        <v>50</v>
      </c>
      <c r="B87" s="11">
        <v>37006</v>
      </c>
      <c r="C87" s="13">
        <v>49</v>
      </c>
      <c r="D87" s="15">
        <v>0.9458333333333333</v>
      </c>
      <c r="E87" s="16">
        <f>16192*100/C87</f>
        <v>33044.897959183676</v>
      </c>
      <c r="F87" s="13">
        <v>49</v>
      </c>
      <c r="G87" s="15">
        <v>0.92847222222222225</v>
      </c>
      <c r="H87" s="16">
        <f>15893*100/F87</f>
        <v>32434.693877551021</v>
      </c>
      <c r="I87" s="13">
        <v>48</v>
      </c>
      <c r="J87" s="15">
        <v>0.92847222222222225</v>
      </c>
      <c r="K87" s="16">
        <f>15893*100/I87</f>
        <v>33110.416666666664</v>
      </c>
    </row>
    <row r="88" spans="1:12">
      <c r="B88" s="11">
        <v>37007</v>
      </c>
      <c r="C88" s="13">
        <v>44</v>
      </c>
      <c r="D88" s="15">
        <v>0.95277777777777783</v>
      </c>
      <c r="E88" s="16">
        <f>8100*100/C88</f>
        <v>18409.090909090908</v>
      </c>
      <c r="F88" s="13">
        <v>44</v>
      </c>
      <c r="G88" s="15">
        <v>0.95277777777777783</v>
      </c>
      <c r="H88" s="16">
        <f>8100*100/F88</f>
        <v>18409.090909090908</v>
      </c>
      <c r="I88" s="13">
        <v>43</v>
      </c>
      <c r="J88" s="15">
        <v>0.9458333333333333</v>
      </c>
      <c r="K88" s="16">
        <f>8100*100/I88</f>
        <v>18837.20930232558</v>
      </c>
    </row>
    <row r="89" spans="1:12">
      <c r="B89" s="11">
        <v>37008</v>
      </c>
      <c r="C89" s="13">
        <v>37</v>
      </c>
      <c r="D89" s="15">
        <v>0.99444444444444446</v>
      </c>
      <c r="E89" s="16">
        <f>7085*100/C89</f>
        <v>19148.64864864865</v>
      </c>
      <c r="F89" s="13">
        <v>37</v>
      </c>
      <c r="G89" s="15">
        <v>0.96319444444444446</v>
      </c>
      <c r="H89" s="16">
        <f>6786*100/F89</f>
        <v>18340.54054054054</v>
      </c>
      <c r="I89" s="13">
        <v>37</v>
      </c>
      <c r="J89" s="15">
        <v>0.97361111111111109</v>
      </c>
      <c r="K89" s="16">
        <f>6878*100/I89</f>
        <v>18589.18918918919</v>
      </c>
    </row>
    <row r="90" spans="1:12">
      <c r="B90" s="11">
        <v>37009</v>
      </c>
      <c r="C90" s="13">
        <v>59</v>
      </c>
      <c r="D90" s="15">
        <v>0.87638888888888899</v>
      </c>
      <c r="E90" s="16">
        <f>5710*100/C90</f>
        <v>9677.9661016949158</v>
      </c>
      <c r="F90" s="13">
        <v>47</v>
      </c>
      <c r="G90" s="15">
        <v>0.87638888888888899</v>
      </c>
      <c r="H90" s="16">
        <f>5710*100/F90</f>
        <v>12148.936170212766</v>
      </c>
      <c r="I90" s="13">
        <v>59</v>
      </c>
      <c r="J90" s="15">
        <v>0.87986111111111109</v>
      </c>
      <c r="K90" s="16">
        <f>5830*100/I90</f>
        <v>9881.3559322033907</v>
      </c>
    </row>
    <row r="91" spans="1:12">
      <c r="B91" s="11">
        <v>37010</v>
      </c>
      <c r="C91" s="13">
        <v>45</v>
      </c>
      <c r="D91" s="15">
        <v>0.93888888888888899</v>
      </c>
      <c r="E91" s="21">
        <f>13978*100/C91</f>
        <v>31062.222222222223</v>
      </c>
      <c r="F91" s="13">
        <v>47</v>
      </c>
      <c r="G91" s="15">
        <v>0.95972222222222225</v>
      </c>
      <c r="H91" s="21">
        <f>13759*100/F91</f>
        <v>29274.468085106382</v>
      </c>
      <c r="I91" s="13">
        <v>45</v>
      </c>
      <c r="J91" s="15">
        <v>0.97361111111111109</v>
      </c>
      <c r="K91" s="21">
        <f>14559*100/I91</f>
        <v>32353.333333333332</v>
      </c>
    </row>
    <row r="92" spans="1:12">
      <c r="B92" s="11">
        <v>37011</v>
      </c>
      <c r="C92" s="13">
        <v>52</v>
      </c>
      <c r="D92" s="15">
        <v>0.93194444444444446</v>
      </c>
      <c r="E92" s="21">
        <f>9216*100/C92</f>
        <v>17723.076923076922</v>
      </c>
      <c r="F92" s="13">
        <v>50</v>
      </c>
      <c r="G92" s="15">
        <v>0.92847222222222225</v>
      </c>
      <c r="H92" s="21">
        <f>9105*100/F92</f>
        <v>18210</v>
      </c>
      <c r="I92" s="13">
        <v>51</v>
      </c>
      <c r="J92" s="15">
        <v>0.93194444444444446</v>
      </c>
      <c r="K92" s="21">
        <f>9216*100/I92</f>
        <v>18070.588235294119</v>
      </c>
    </row>
    <row r="93" spans="1:12">
      <c r="B93" s="11">
        <v>37012</v>
      </c>
      <c r="C93" s="13">
        <v>49</v>
      </c>
      <c r="D93" s="15">
        <v>0.9458333333333333</v>
      </c>
      <c r="E93" s="21">
        <f>9119*100/C93</f>
        <v>18610.204081632652</v>
      </c>
      <c r="F93" s="13">
        <v>48</v>
      </c>
      <c r="G93" s="15">
        <v>0.95972222222222225</v>
      </c>
      <c r="H93" s="21">
        <f>8637*100/F93</f>
        <v>17993.75</v>
      </c>
      <c r="I93" s="13">
        <v>49</v>
      </c>
      <c r="J93" s="15">
        <v>0.94236111111111109</v>
      </c>
      <c r="K93" s="21">
        <f>9086*100/I93</f>
        <v>18542.857142857141</v>
      </c>
    </row>
    <row r="94" spans="1:12">
      <c r="B94" s="11">
        <v>37013</v>
      </c>
      <c r="C94" s="13">
        <v>43</v>
      </c>
      <c r="D94" s="15">
        <v>0.97361111111111109</v>
      </c>
      <c r="E94" s="21">
        <f>7562*100/C94</f>
        <v>17586.046511627908</v>
      </c>
      <c r="F94" s="13">
        <v>43</v>
      </c>
      <c r="G94" s="15">
        <v>0.97013888888888899</v>
      </c>
      <c r="H94" s="21">
        <f>7575*100/F94</f>
        <v>17616.279069767443</v>
      </c>
      <c r="I94" s="13">
        <v>43</v>
      </c>
      <c r="J94" s="15">
        <v>0.9458333333333333</v>
      </c>
      <c r="K94" s="21">
        <f>7983*100/I94</f>
        <v>18565.116279069767</v>
      </c>
    </row>
    <row r="95" spans="1:12">
      <c r="A95" s="19"/>
      <c r="B95" s="11">
        <v>37014</v>
      </c>
      <c r="C95" s="13">
        <v>46</v>
      </c>
      <c r="D95" s="15">
        <v>0.9458333333333333</v>
      </c>
      <c r="E95" s="21">
        <f>6903*100/C95</f>
        <v>15006.521739130434</v>
      </c>
      <c r="F95" s="13">
        <v>47</v>
      </c>
      <c r="G95" s="15">
        <v>0.96319444444444446</v>
      </c>
      <c r="H95" s="21">
        <f>7524*100/F95</f>
        <v>16008.510638297872</v>
      </c>
      <c r="I95" s="13">
        <v>46</v>
      </c>
      <c r="J95" s="15">
        <v>0.9770833333333333</v>
      </c>
      <c r="K95" s="21">
        <f>6996*100/I95</f>
        <v>15208.695652173914</v>
      </c>
    </row>
    <row r="96" spans="1:12">
      <c r="B96" s="11">
        <v>37015</v>
      </c>
      <c r="C96" s="13">
        <v>50</v>
      </c>
      <c r="D96" s="15">
        <v>0.54305555555555551</v>
      </c>
      <c r="E96" s="21">
        <f>5135*100/C96</f>
        <v>10270</v>
      </c>
      <c r="F96" s="13">
        <v>46</v>
      </c>
      <c r="G96" s="15">
        <v>0.9770833333333333</v>
      </c>
      <c r="H96" s="21">
        <f>9575*100/F96</f>
        <v>20815.217391304348</v>
      </c>
      <c r="I96" s="13">
        <v>44</v>
      </c>
      <c r="J96" s="15">
        <v>0.95972222222222225</v>
      </c>
      <c r="K96" s="21">
        <f>6829*100/I96</f>
        <v>15520.454545454546</v>
      </c>
    </row>
    <row r="97" spans="1:11">
      <c r="B97" s="11">
        <v>37016</v>
      </c>
      <c r="C97" s="13">
        <v>38</v>
      </c>
      <c r="D97" s="15">
        <v>0.98750000000000004</v>
      </c>
      <c r="E97" s="21">
        <f>5943*100/C97</f>
        <v>15639.473684210527</v>
      </c>
      <c r="F97" s="13">
        <v>39</v>
      </c>
      <c r="G97" s="15">
        <v>0.95972222222222225</v>
      </c>
      <c r="H97" s="21">
        <f>6162*100/F97</f>
        <v>15800</v>
      </c>
      <c r="I97" s="13">
        <v>38</v>
      </c>
      <c r="J97" s="15">
        <v>0.99444444444444446</v>
      </c>
      <c r="K97" s="21">
        <f>5939*100/I97</f>
        <v>15628.947368421053</v>
      </c>
    </row>
    <row r="98" spans="1:11">
      <c r="B98" s="11">
        <v>37017</v>
      </c>
      <c r="C98" s="13">
        <v>53</v>
      </c>
      <c r="D98" s="15">
        <v>0.93888888888888899</v>
      </c>
      <c r="E98" s="21">
        <f>6937*100/C98</f>
        <v>13088.67924528302</v>
      </c>
      <c r="F98" s="13">
        <v>50</v>
      </c>
      <c r="G98" s="15">
        <v>0.93888888888888899</v>
      </c>
      <c r="H98" s="21">
        <f>6937*100/F98</f>
        <v>13874</v>
      </c>
      <c r="I98" s="13">
        <v>50</v>
      </c>
      <c r="J98" s="15">
        <v>0.9458333333333333</v>
      </c>
      <c r="K98" s="21">
        <f>7270*100/I98</f>
        <v>14540</v>
      </c>
    </row>
    <row r="99" spans="1:11">
      <c r="B99" s="11">
        <v>37018</v>
      </c>
      <c r="C99" s="13">
        <v>61</v>
      </c>
      <c r="D99" s="15">
        <v>0.93541666666666667</v>
      </c>
      <c r="E99" s="21">
        <f>8428*100/C99</f>
        <v>13816.393442622952</v>
      </c>
      <c r="F99" s="13">
        <v>61</v>
      </c>
      <c r="G99" s="15">
        <v>0.94930555555555562</v>
      </c>
      <c r="H99" s="21">
        <f>8428*100/F99</f>
        <v>13816.393442622952</v>
      </c>
      <c r="I99" s="13">
        <v>62</v>
      </c>
      <c r="J99" s="15">
        <v>0.93888888888888899</v>
      </c>
      <c r="K99" s="21">
        <f>8403*100/I99</f>
        <v>13553.225806451614</v>
      </c>
    </row>
    <row r="100" spans="1:11">
      <c r="B100" s="11">
        <v>37019</v>
      </c>
      <c r="C100" s="13">
        <v>65</v>
      </c>
      <c r="D100" s="15">
        <v>0.62986111111111109</v>
      </c>
      <c r="E100" s="21">
        <f>6428*100/C100</f>
        <v>9889.2307692307695</v>
      </c>
      <c r="F100" s="13">
        <v>54</v>
      </c>
      <c r="G100" s="15">
        <v>0.62986111111111109</v>
      </c>
      <c r="H100" s="21">
        <f>6428*100/F100</f>
        <v>11903.703703703704</v>
      </c>
      <c r="I100" s="13">
        <v>72</v>
      </c>
      <c r="J100" s="15">
        <v>0.6333333333333333</v>
      </c>
      <c r="K100" s="21">
        <f>6380*100/I100</f>
        <v>8861.1111111111113</v>
      </c>
    </row>
    <row r="101" spans="1:11">
      <c r="B101" s="11">
        <v>37020</v>
      </c>
      <c r="C101" s="13">
        <v>51</v>
      </c>
      <c r="D101" s="15">
        <v>0.93888888888888899</v>
      </c>
      <c r="E101" s="21">
        <f>8208*100/C101</f>
        <v>16094.117647058823</v>
      </c>
      <c r="F101" s="13">
        <v>49</v>
      </c>
      <c r="G101" s="15">
        <v>0.93194444444444446</v>
      </c>
      <c r="H101" s="21">
        <f>8174*100/F101</f>
        <v>16681.632653061224</v>
      </c>
      <c r="I101" s="13">
        <v>37</v>
      </c>
      <c r="J101" s="15">
        <v>0.62638888888888888</v>
      </c>
      <c r="K101" s="21">
        <f>6331*100/I101</f>
        <v>17110.81081081081</v>
      </c>
    </row>
    <row r="102" spans="1:11">
      <c r="B102" s="11">
        <v>37021</v>
      </c>
      <c r="C102" s="13">
        <v>53</v>
      </c>
      <c r="D102" s="15">
        <v>0.93194444444444446</v>
      </c>
      <c r="E102" s="21">
        <f>7624*100/C102</f>
        <v>14384.905660377359</v>
      </c>
      <c r="F102" s="13">
        <v>48</v>
      </c>
      <c r="G102" s="15">
        <v>0.94930555555555562</v>
      </c>
      <c r="H102" s="21">
        <f>7972*100/F102</f>
        <v>16608.333333333332</v>
      </c>
      <c r="I102" s="13">
        <v>48</v>
      </c>
      <c r="J102" s="15">
        <v>0.91805555555555562</v>
      </c>
      <c r="K102" s="21">
        <f>7599*100/I102</f>
        <v>15831.25</v>
      </c>
    </row>
    <row r="103" spans="1:11">
      <c r="B103" s="11">
        <v>37022</v>
      </c>
      <c r="C103" s="13">
        <v>44</v>
      </c>
      <c r="D103" s="15">
        <v>0.9770833333333333</v>
      </c>
      <c r="E103" s="21">
        <f>7201*100/C103</f>
        <v>16365.90909090909</v>
      </c>
      <c r="F103" s="13">
        <v>44</v>
      </c>
      <c r="G103" s="15">
        <v>0.97013888888888899</v>
      </c>
      <c r="H103" s="21">
        <f>7362*100/F103</f>
        <v>16731.81818181818</v>
      </c>
      <c r="I103" s="13">
        <v>43</v>
      </c>
      <c r="J103" s="15">
        <v>0.96666666666666667</v>
      </c>
      <c r="K103" s="21">
        <f>7579*100/I103</f>
        <v>17625.581395348836</v>
      </c>
    </row>
    <row r="104" spans="1:11">
      <c r="B104" s="11">
        <v>37023</v>
      </c>
      <c r="C104" s="13">
        <v>38</v>
      </c>
      <c r="D104" s="15">
        <v>0.95277777777777783</v>
      </c>
      <c r="E104" s="21">
        <f>6813*100/C104</f>
        <v>17928.947368421053</v>
      </c>
      <c r="F104" s="13">
        <v>38</v>
      </c>
      <c r="G104" s="15">
        <v>0.96319444444444446</v>
      </c>
      <c r="H104" s="21">
        <f>6912*100/F104</f>
        <v>18189.473684210527</v>
      </c>
      <c r="I104" s="13">
        <v>38</v>
      </c>
      <c r="J104" s="15">
        <v>0.96319444444444446</v>
      </c>
      <c r="K104" s="21">
        <f>6912*100/I104</f>
        <v>18189.473684210527</v>
      </c>
    </row>
    <row r="105" spans="1:11">
      <c r="B105" s="11">
        <v>37024</v>
      </c>
      <c r="C105" s="13">
        <v>52</v>
      </c>
      <c r="D105" s="15">
        <v>0.95972222222222225</v>
      </c>
      <c r="E105" s="21">
        <f>8737*100/C105</f>
        <v>16801.923076923078</v>
      </c>
      <c r="F105" s="13">
        <v>51</v>
      </c>
      <c r="G105" s="15">
        <v>0.95277777777777783</v>
      </c>
      <c r="H105" s="21">
        <f>8921*100/F105</f>
        <v>17492.156862745098</v>
      </c>
      <c r="I105" s="13">
        <v>53</v>
      </c>
      <c r="J105" s="15">
        <v>0.93194444444444446</v>
      </c>
      <c r="K105" s="21">
        <f>7475*100/I105</f>
        <v>14103.773584905661</v>
      </c>
    </row>
    <row r="106" spans="1:11">
      <c r="B106" s="11">
        <v>37025</v>
      </c>
      <c r="C106" s="13">
        <v>60</v>
      </c>
      <c r="D106" s="15">
        <v>0.96319444444444446</v>
      </c>
      <c r="E106" s="21">
        <f>10237*100/C106</f>
        <v>17061.666666666668</v>
      </c>
      <c r="F106" s="13">
        <v>59</v>
      </c>
      <c r="G106" s="15">
        <v>0.9458333333333333</v>
      </c>
      <c r="H106" s="21">
        <f>10006*100/F106</f>
        <v>16959.322033898305</v>
      </c>
      <c r="I106" s="13">
        <v>61</v>
      </c>
      <c r="J106" s="15">
        <v>0.92152777777777783</v>
      </c>
      <c r="K106" s="21">
        <f>8892*100/I106</f>
        <v>14577.049180327869</v>
      </c>
    </row>
    <row r="107" spans="1:11">
      <c r="B107" s="11">
        <v>37026</v>
      </c>
      <c r="C107" s="13">
        <v>54</v>
      </c>
      <c r="D107" s="15">
        <v>0.92152777777777783</v>
      </c>
      <c r="E107" s="21">
        <f>9423*100/C107</f>
        <v>17450</v>
      </c>
      <c r="F107" s="13">
        <v>56</v>
      </c>
      <c r="G107" s="15">
        <v>0.94236111111111109</v>
      </c>
      <c r="H107" s="21">
        <f>8823*100/F107</f>
        <v>15755.357142857143</v>
      </c>
      <c r="I107" s="13">
        <v>57</v>
      </c>
      <c r="J107" s="15">
        <v>0.92847222222222225</v>
      </c>
      <c r="K107" s="21">
        <f>9252*100/I107</f>
        <v>16231.578947368422</v>
      </c>
    </row>
    <row r="108" spans="1:11">
      <c r="B108" s="11"/>
      <c r="C108" s="13"/>
      <c r="D108" s="15"/>
      <c r="E108" s="21"/>
      <c r="F108" s="13"/>
      <c r="G108" s="15"/>
      <c r="H108" s="21"/>
      <c r="I108" s="13"/>
      <c r="J108" s="15"/>
      <c r="K108" s="21"/>
    </row>
    <row r="109" spans="1:11">
      <c r="B109" s="11"/>
      <c r="C109" s="13"/>
      <c r="D109" s="20" t="s">
        <v>39</v>
      </c>
      <c r="E109" s="22">
        <f>AVERAGE(E82:E86)</f>
        <v>13147.637930818291</v>
      </c>
      <c r="F109" s="13"/>
      <c r="G109" s="15"/>
      <c r="H109" s="22">
        <f>AVERAGE(H82:H86)</f>
        <v>13661.134856110464</v>
      </c>
      <c r="I109" s="13"/>
      <c r="J109" s="15"/>
      <c r="K109" s="22">
        <f>AVERAGE(K82:K86)</f>
        <v>12261.281041267279</v>
      </c>
    </row>
    <row r="110" spans="1:11">
      <c r="C110" s="13"/>
      <c r="D110" s="20" t="s">
        <v>38</v>
      </c>
      <c r="E110" s="16">
        <f>AVERAGE(E87:E107)</f>
        <v>17098.091511810078</v>
      </c>
      <c r="F110" s="13"/>
      <c r="G110" s="15"/>
      <c r="H110" s="16">
        <f>AVERAGE(H87:H107)</f>
        <v>17860.175129529609</v>
      </c>
      <c r="I110" s="13"/>
      <c r="J110" s="15"/>
      <c r="K110" s="16">
        <f>AVERAGE(K87:K107)</f>
        <v>17377.71515083445</v>
      </c>
    </row>
    <row r="111" spans="1:11">
      <c r="C111" s="13"/>
      <c r="D111" s="20"/>
      <c r="E111" s="16"/>
      <c r="F111" s="13"/>
      <c r="G111" s="15"/>
      <c r="H111" s="16"/>
      <c r="I111" s="13"/>
      <c r="J111" s="15"/>
      <c r="K111" s="16"/>
    </row>
    <row r="112" spans="1:11">
      <c r="A112" s="19" t="s">
        <v>50</v>
      </c>
      <c r="B112" s="11" t="s">
        <v>51</v>
      </c>
      <c r="C112" s="13"/>
      <c r="D112" s="15"/>
      <c r="E112" s="16"/>
      <c r="F112" s="13"/>
      <c r="G112" s="15"/>
      <c r="H112" s="16"/>
      <c r="I112" s="13"/>
      <c r="J112" s="15"/>
      <c r="K112" s="16"/>
    </row>
    <row r="122" spans="2:11">
      <c r="B122" t="s">
        <v>23</v>
      </c>
    </row>
    <row r="123" spans="2:11">
      <c r="B123" s="1"/>
      <c r="C123" s="7" t="s">
        <v>44</v>
      </c>
      <c r="D123" s="8"/>
      <c r="E123" s="8"/>
      <c r="F123" s="7" t="s">
        <v>57</v>
      </c>
      <c r="G123" s="8"/>
      <c r="H123" s="8"/>
      <c r="I123" s="7" t="s">
        <v>45</v>
      </c>
      <c r="J123" s="8"/>
      <c r="K123" s="9"/>
    </row>
    <row r="124" spans="2:11">
      <c r="B124" s="2" t="s">
        <v>2</v>
      </c>
      <c r="C124" s="10" t="s">
        <v>3</v>
      </c>
      <c r="D124" s="9" t="s">
        <v>4</v>
      </c>
      <c r="E124" s="9" t="s">
        <v>26</v>
      </c>
      <c r="F124" s="9" t="s">
        <v>3</v>
      </c>
      <c r="G124" s="9" t="s">
        <v>4</v>
      </c>
      <c r="H124" s="9" t="s">
        <v>26</v>
      </c>
      <c r="I124" s="10" t="s">
        <v>3</v>
      </c>
      <c r="J124" s="9" t="s">
        <v>4</v>
      </c>
      <c r="K124" s="9" t="s">
        <v>26</v>
      </c>
    </row>
    <row r="125" spans="2:11">
      <c r="B125" s="11">
        <v>37001</v>
      </c>
      <c r="C125">
        <v>47.3</v>
      </c>
      <c r="D125" s="12">
        <v>0.97916666666666663</v>
      </c>
      <c r="E125" s="16">
        <f>7461*100/C125</f>
        <v>15773.784355179705</v>
      </c>
      <c r="F125">
        <v>43.3</v>
      </c>
      <c r="G125" s="12">
        <v>0.9375</v>
      </c>
      <c r="H125" s="16">
        <f>7184*100/F125</f>
        <v>16591.22401847575</v>
      </c>
      <c r="I125">
        <v>79.099999999999994</v>
      </c>
      <c r="J125" s="12">
        <v>0.60416666666666663</v>
      </c>
      <c r="K125" s="16">
        <f>6534*100/I125</f>
        <v>8260.4298356510753</v>
      </c>
    </row>
    <row r="126" spans="2:11">
      <c r="B126" s="11">
        <v>37002</v>
      </c>
      <c r="C126">
        <v>45.2</v>
      </c>
      <c r="D126" s="12">
        <v>0.97916666666666663</v>
      </c>
      <c r="E126" s="16">
        <f>7064*100/C126</f>
        <v>15628.318584070796</v>
      </c>
      <c r="F126">
        <v>40.9</v>
      </c>
      <c r="G126" s="12">
        <v>0.97916666666666663</v>
      </c>
      <c r="H126" s="16">
        <f>7064*100/F126</f>
        <v>17271.393643031784</v>
      </c>
      <c r="I126">
        <v>81.900000000000006</v>
      </c>
      <c r="J126" s="12">
        <v>0.9375</v>
      </c>
      <c r="K126" s="16">
        <f>6387*100/I126</f>
        <v>7798.534798534798</v>
      </c>
    </row>
    <row r="127" spans="2:11">
      <c r="B127" s="11">
        <v>37003</v>
      </c>
      <c r="C127">
        <v>55.5</v>
      </c>
      <c r="D127" s="12">
        <v>0.9375</v>
      </c>
      <c r="E127" s="16">
        <f>12961*100/C127</f>
        <v>23353.153153153155</v>
      </c>
      <c r="F127">
        <v>58.4</v>
      </c>
      <c r="G127" s="12">
        <v>0.9375</v>
      </c>
      <c r="H127" s="16">
        <f>12961*100/F127</f>
        <v>22193.493150684932</v>
      </c>
      <c r="I127">
        <v>80.099999999999994</v>
      </c>
      <c r="J127" s="12">
        <v>0.77083333333333337</v>
      </c>
      <c r="K127" s="16">
        <f>7017*100/I127</f>
        <v>8760.2996254681657</v>
      </c>
    </row>
    <row r="128" spans="2:11">
      <c r="B128" s="11">
        <v>37004</v>
      </c>
      <c r="C128">
        <v>57.3</v>
      </c>
      <c r="D128" s="12">
        <v>0.9375</v>
      </c>
      <c r="E128" s="16">
        <f>10805*100/C128</f>
        <v>18856.893542757418</v>
      </c>
      <c r="F128">
        <v>62.7</v>
      </c>
      <c r="G128" s="12">
        <v>0.9375</v>
      </c>
      <c r="H128" s="16">
        <f>10805*100/F128</f>
        <v>17232.854864433812</v>
      </c>
      <c r="I128">
        <v>71.2</v>
      </c>
      <c r="J128" s="12">
        <v>0.9375</v>
      </c>
      <c r="K128" s="16">
        <f>10805*100/I128</f>
        <v>15175.561797752809</v>
      </c>
    </row>
    <row r="129" spans="1:11">
      <c r="B129" s="11">
        <v>37005</v>
      </c>
      <c r="C129">
        <v>53.2</v>
      </c>
      <c r="D129" s="12">
        <v>0.97916666666666663</v>
      </c>
      <c r="E129" s="16">
        <f>8867*100/C129</f>
        <v>16667.293233082706</v>
      </c>
      <c r="F129">
        <v>50.7</v>
      </c>
      <c r="G129" s="12">
        <v>0.97916666666666663</v>
      </c>
      <c r="H129" s="16">
        <f>8867*100/F129</f>
        <v>17489.151873767256</v>
      </c>
      <c r="I129">
        <v>64.2</v>
      </c>
      <c r="J129" s="12">
        <v>0.97916666666666663</v>
      </c>
      <c r="K129" s="16">
        <f>8867*100/I129</f>
        <v>13811.526479750779</v>
      </c>
    </row>
    <row r="130" spans="1:11">
      <c r="B130" s="11">
        <v>37006</v>
      </c>
      <c r="C130">
        <v>52.9</v>
      </c>
      <c r="D130" s="12">
        <v>0.9375</v>
      </c>
      <c r="E130" s="16">
        <f>16068*100/C130</f>
        <v>30374.291115311909</v>
      </c>
      <c r="F130">
        <v>60.8</v>
      </c>
      <c r="G130" s="12">
        <v>0.9375</v>
      </c>
      <c r="H130" s="16">
        <f>16068*100/F130</f>
        <v>26427.63157894737</v>
      </c>
      <c r="I130">
        <v>72.8</v>
      </c>
      <c r="J130" s="12">
        <v>0.9375</v>
      </c>
      <c r="K130" s="16">
        <f>16068*100/I130</f>
        <v>22071.428571428572</v>
      </c>
    </row>
    <row r="131" spans="1:11">
      <c r="B131" s="11">
        <v>37007</v>
      </c>
      <c r="C131">
        <v>49.5</v>
      </c>
      <c r="D131" s="12">
        <v>0.9375</v>
      </c>
      <c r="E131" s="16">
        <f>8000*100/C131</f>
        <v>16161.616161616161</v>
      </c>
      <c r="F131">
        <v>47.9</v>
      </c>
      <c r="G131" s="12">
        <v>0.9375</v>
      </c>
      <c r="H131" s="16">
        <f>8000*100/F131</f>
        <v>16701.461377870564</v>
      </c>
      <c r="I131">
        <v>61.1</v>
      </c>
      <c r="J131" s="12">
        <v>0.77083333333333337</v>
      </c>
      <c r="K131" s="16">
        <f>7000*100/I131</f>
        <v>11456.628477905073</v>
      </c>
    </row>
    <row r="132" spans="1:11">
      <c r="B132" s="11">
        <v>37008</v>
      </c>
      <c r="C132">
        <v>43.3</v>
      </c>
      <c r="D132" s="12">
        <v>0.97916666666666663</v>
      </c>
      <c r="E132" s="16">
        <f>6997*100/C132</f>
        <v>16159.353348729794</v>
      </c>
      <c r="F132">
        <v>41.9</v>
      </c>
      <c r="G132" s="12">
        <v>0.97916666666666663</v>
      </c>
      <c r="H132" s="16">
        <f>6997*100/F132</f>
        <v>16699.28400954654</v>
      </c>
      <c r="I132">
        <v>55.1</v>
      </c>
      <c r="J132" s="12">
        <v>0.97916666666666663</v>
      </c>
      <c r="K132" s="16">
        <f>6997*100/I132</f>
        <v>12698.729582577133</v>
      </c>
    </row>
    <row r="133" spans="1:11">
      <c r="B133" s="11">
        <v>37009</v>
      </c>
      <c r="C133">
        <v>45.1</v>
      </c>
      <c r="D133" s="12">
        <v>0.97916666666666663</v>
      </c>
      <c r="E133" s="16">
        <f>6366*100/C133</f>
        <v>14115.299334811529</v>
      </c>
      <c r="F133">
        <v>40.9</v>
      </c>
      <c r="G133" s="12">
        <v>0.97916666666666663</v>
      </c>
      <c r="H133" s="16">
        <f>6366*100/F133</f>
        <v>15564.79217603912</v>
      </c>
      <c r="I133">
        <v>75</v>
      </c>
      <c r="J133" s="12">
        <v>0.77083333333333337</v>
      </c>
      <c r="K133" s="16">
        <f>5356*100/I133</f>
        <v>7141.333333333333</v>
      </c>
    </row>
    <row r="134" spans="1:11">
      <c r="B134" s="11">
        <v>37010</v>
      </c>
      <c r="C134">
        <v>50.1</v>
      </c>
      <c r="D134" s="12">
        <v>0.9375</v>
      </c>
      <c r="E134" s="21">
        <f>13905*100/C134</f>
        <v>27754.491017964072</v>
      </c>
      <c r="F134">
        <v>58.4</v>
      </c>
      <c r="G134" s="12">
        <v>0.9375</v>
      </c>
      <c r="H134" s="21">
        <f>13905*100/F134</f>
        <v>23809.931506849316</v>
      </c>
      <c r="I134">
        <v>66.599999999999994</v>
      </c>
      <c r="J134" s="12">
        <v>0.97916666666666663</v>
      </c>
      <c r="K134" s="16">
        <f>14594*100/I134</f>
        <v>21912.912912912914</v>
      </c>
    </row>
    <row r="135" spans="1:11">
      <c r="B135" s="11">
        <v>37011</v>
      </c>
      <c r="C135">
        <v>49.6</v>
      </c>
      <c r="D135" s="12">
        <v>0.89583333333333337</v>
      </c>
      <c r="E135" s="21">
        <f>8600*100/C135</f>
        <v>17338.709677419356</v>
      </c>
      <c r="F135">
        <v>51.7</v>
      </c>
      <c r="G135" s="12">
        <v>0.89583333333333337</v>
      </c>
      <c r="H135" s="21">
        <f>8600*100/F135</f>
        <v>16634.429400386845</v>
      </c>
      <c r="I135">
        <v>62.5</v>
      </c>
      <c r="J135" s="12">
        <v>0.89583333333333337</v>
      </c>
      <c r="K135" s="16">
        <f>8600*100/I135</f>
        <v>13760</v>
      </c>
    </row>
    <row r="136" spans="1:11">
      <c r="A136" s="19"/>
      <c r="B136" s="11">
        <v>37012</v>
      </c>
      <c r="C136">
        <v>52.8</v>
      </c>
      <c r="D136" s="12">
        <v>0.9375</v>
      </c>
      <c r="E136" s="21">
        <f>8271*100/C136</f>
        <v>15664.772727272728</v>
      </c>
      <c r="F136">
        <v>53.8</v>
      </c>
      <c r="G136" s="12">
        <v>0.9375</v>
      </c>
      <c r="H136" s="21">
        <f>8271*100/F136</f>
        <v>15373.605947955391</v>
      </c>
      <c r="I136">
        <v>67.599999999999994</v>
      </c>
      <c r="J136" s="12">
        <v>0.9375</v>
      </c>
      <c r="K136" s="16">
        <f>8271*100/I136</f>
        <v>12235.207100591717</v>
      </c>
    </row>
    <row r="137" spans="1:11">
      <c r="B137" s="11">
        <v>37013</v>
      </c>
      <c r="C137">
        <v>48.8</v>
      </c>
      <c r="D137" s="12">
        <v>0.9375</v>
      </c>
      <c r="E137" s="21">
        <f>7749*100/C137</f>
        <v>15879.098360655738</v>
      </c>
      <c r="F137">
        <v>46.1</v>
      </c>
      <c r="G137" s="12">
        <v>0.9375</v>
      </c>
      <c r="H137" s="21">
        <f>7749*100/F137</f>
        <v>16809.110629067243</v>
      </c>
      <c r="I137">
        <v>68.2</v>
      </c>
      <c r="J137" s="12">
        <v>0.9375</v>
      </c>
      <c r="K137" s="16">
        <f>7749*100/I137</f>
        <v>11362.170087976539</v>
      </c>
    </row>
    <row r="138" spans="1:11">
      <c r="A138" s="19" t="s">
        <v>33</v>
      </c>
      <c r="B138" s="11">
        <v>37014</v>
      </c>
      <c r="C138">
        <v>28.6</v>
      </c>
      <c r="D138" s="12">
        <v>0.9375</v>
      </c>
      <c r="E138" s="21">
        <f>6554*100/C138</f>
        <v>22916.083916083913</v>
      </c>
      <c r="F138">
        <v>7.1</v>
      </c>
      <c r="G138" s="12">
        <v>0.97916666666666663</v>
      </c>
      <c r="H138" s="21">
        <f>6996*100/F138</f>
        <v>98535.211267605642</v>
      </c>
      <c r="I138">
        <v>43.9</v>
      </c>
      <c r="J138" s="12">
        <v>0.97916666666666663</v>
      </c>
      <c r="K138" s="16">
        <f>6996*100/I138</f>
        <v>15936.21867881549</v>
      </c>
    </row>
    <row r="139" spans="1:11">
      <c r="B139" s="11">
        <v>37015</v>
      </c>
      <c r="C139">
        <v>28.5</v>
      </c>
      <c r="D139" s="12">
        <v>0.97916666666666663</v>
      </c>
      <c r="E139" s="21">
        <f>9575*100/C139</f>
        <v>33596.491228070176</v>
      </c>
      <c r="F139">
        <v>6.7</v>
      </c>
      <c r="G139" s="12">
        <v>0.97916666666666663</v>
      </c>
      <c r="H139" s="21">
        <f>9575*100/F139</f>
        <v>142910.44776119402</v>
      </c>
      <c r="I139">
        <v>35.6</v>
      </c>
      <c r="J139" s="12">
        <v>0.97916666666666663</v>
      </c>
      <c r="K139" s="16">
        <f>9575*100/I139</f>
        <v>26896.067415730337</v>
      </c>
    </row>
    <row r="140" spans="1:11">
      <c r="B140" s="11">
        <v>37016</v>
      </c>
      <c r="C140">
        <v>23.8</v>
      </c>
      <c r="D140" s="12">
        <v>0.9375</v>
      </c>
      <c r="E140" s="21">
        <f>6088*100/C140</f>
        <v>25579.831932773108</v>
      </c>
      <c r="F140">
        <v>6.1</v>
      </c>
      <c r="G140" s="12">
        <v>0.97916666666666663</v>
      </c>
      <c r="H140" s="21">
        <f>6477*100/F140</f>
        <v>106180.32786885246</v>
      </c>
      <c r="I140">
        <v>32.799999999999997</v>
      </c>
      <c r="J140" s="12">
        <v>0.97916666666666663</v>
      </c>
      <c r="K140" s="16">
        <f>6477*100/I140</f>
        <v>19746.951219512197</v>
      </c>
    </row>
    <row r="141" spans="1:11">
      <c r="B141" s="11">
        <v>37017</v>
      </c>
      <c r="C141">
        <v>31.1</v>
      </c>
      <c r="D141" s="12">
        <v>0.9375</v>
      </c>
      <c r="E141" s="21">
        <f>6861*100/C141</f>
        <v>22061.093247588422</v>
      </c>
      <c r="F141">
        <v>7.9</v>
      </c>
      <c r="G141" s="12">
        <v>0.9375</v>
      </c>
      <c r="H141" s="21">
        <f>6861*100/F141</f>
        <v>86848.101265822785</v>
      </c>
      <c r="I141">
        <v>42</v>
      </c>
      <c r="J141" s="12">
        <v>0.9375</v>
      </c>
      <c r="K141" s="16">
        <f>6861*100/I141</f>
        <v>16335.714285714286</v>
      </c>
    </row>
    <row r="142" spans="1:11">
      <c r="B142" s="11">
        <v>37018</v>
      </c>
      <c r="C142">
        <v>37.799999999999997</v>
      </c>
      <c r="D142" s="12">
        <v>0.9375</v>
      </c>
      <c r="E142" s="21">
        <f>8428*100/C142</f>
        <v>22296.296296296299</v>
      </c>
      <c r="F142">
        <v>10.1</v>
      </c>
      <c r="G142" s="12">
        <v>0.9375</v>
      </c>
      <c r="H142" s="21">
        <f>8428*100/F142</f>
        <v>83445.544554455453</v>
      </c>
      <c r="I142">
        <v>50.6</v>
      </c>
      <c r="J142" s="12">
        <v>0.9375</v>
      </c>
      <c r="K142" s="16">
        <f>8428*100/I142</f>
        <v>16656.12648221344</v>
      </c>
    </row>
    <row r="143" spans="1:11">
      <c r="A143" s="23" t="s">
        <v>52</v>
      </c>
      <c r="B143" s="11">
        <v>37019</v>
      </c>
      <c r="C143">
        <v>33.4</v>
      </c>
      <c r="D143" s="12">
        <v>0.9375</v>
      </c>
      <c r="E143" s="21">
        <f>8545*100/C143</f>
        <v>25583.832335329342</v>
      </c>
      <c r="F143">
        <v>13.2</v>
      </c>
      <c r="G143" s="12">
        <v>0.89583333333333337</v>
      </c>
      <c r="H143" s="21">
        <f>8230*100/F143</f>
        <v>62348.484848484855</v>
      </c>
      <c r="I143">
        <v>47.7</v>
      </c>
      <c r="J143" s="12">
        <v>0.9375</v>
      </c>
      <c r="K143" s="21">
        <f>8545*100/I143</f>
        <v>17914.046121593292</v>
      </c>
    </row>
    <row r="144" spans="1:11">
      <c r="A144" s="23"/>
      <c r="B144" s="11">
        <v>37020</v>
      </c>
      <c r="C144">
        <v>36.200000000000003</v>
      </c>
      <c r="D144" s="12">
        <v>0.89583333333333337</v>
      </c>
      <c r="E144" s="21">
        <f>7818*100/C144</f>
        <v>21596.685082872926</v>
      </c>
      <c r="F144">
        <v>12.3</v>
      </c>
      <c r="G144" s="12">
        <v>0.9375</v>
      </c>
      <c r="H144" s="21">
        <f>8230*100/F144</f>
        <v>66910.569105691058</v>
      </c>
      <c r="I144">
        <v>49.9</v>
      </c>
      <c r="J144" s="12">
        <v>0.9375</v>
      </c>
      <c r="K144" s="21">
        <f>8230*100/I144</f>
        <v>16492.98597194389</v>
      </c>
    </row>
    <row r="145" spans="1:11">
      <c r="A145" s="23"/>
      <c r="B145" s="11">
        <v>37021</v>
      </c>
      <c r="C145">
        <v>33.1</v>
      </c>
      <c r="D145" s="12">
        <v>0.9375</v>
      </c>
      <c r="E145" s="21">
        <f>7748*100/C145</f>
        <v>23407.85498489426</v>
      </c>
      <c r="F145">
        <v>13.1</v>
      </c>
      <c r="G145" s="12">
        <v>0.9375</v>
      </c>
      <c r="H145" s="21">
        <f>7748*100/F145</f>
        <v>59145.038167938932</v>
      </c>
      <c r="I145">
        <v>42.8</v>
      </c>
      <c r="J145" s="12">
        <v>0.97916666666666663</v>
      </c>
      <c r="K145" s="21">
        <f>7337*100/I145</f>
        <v>17142.523364485984</v>
      </c>
    </row>
    <row r="146" spans="1:11">
      <c r="A146" s="23"/>
      <c r="B146" s="11">
        <v>37022</v>
      </c>
      <c r="C146">
        <v>31.9</v>
      </c>
      <c r="D146" s="12">
        <v>0.97916666666666663</v>
      </c>
      <c r="E146" s="21">
        <f>7201*100/C146</f>
        <v>22573.667711598748</v>
      </c>
      <c r="F146">
        <v>11.1</v>
      </c>
      <c r="G146" s="12">
        <v>0.9375</v>
      </c>
      <c r="H146" s="21">
        <f>7077*100/F146</f>
        <v>63756.75675675676</v>
      </c>
      <c r="I146">
        <v>36.299999999999997</v>
      </c>
      <c r="J146" s="12">
        <v>0.97916666666666663</v>
      </c>
      <c r="K146" s="21">
        <f>7201*100/I146</f>
        <v>19837.465564738293</v>
      </c>
    </row>
    <row r="147" spans="1:11">
      <c r="A147" s="23"/>
      <c r="B147" s="11">
        <v>37023</v>
      </c>
      <c r="C147">
        <v>27.9</v>
      </c>
      <c r="D147" s="12">
        <v>0.9375</v>
      </c>
      <c r="E147" s="21">
        <f>6716*100/C147</f>
        <v>24071.684587813623</v>
      </c>
      <c r="F147">
        <v>10.1</v>
      </c>
      <c r="G147" s="12">
        <v>0.97916666666666663</v>
      </c>
      <c r="H147" s="21">
        <f>6588*100/F147</f>
        <v>65227.72277227723</v>
      </c>
      <c r="I147">
        <v>34.9</v>
      </c>
      <c r="J147" s="12">
        <v>0.97916666666666663</v>
      </c>
      <c r="K147" s="21">
        <f>6588*100/I147</f>
        <v>18876.79083094556</v>
      </c>
    </row>
    <row r="148" spans="1:11">
      <c r="A148" s="23"/>
      <c r="B148" s="11">
        <v>37024</v>
      </c>
      <c r="C148">
        <v>35.799999999999997</v>
      </c>
      <c r="D148" s="12">
        <v>0.97916666666666663</v>
      </c>
      <c r="E148" s="21">
        <f>8146*100/C148</f>
        <v>22754.189944134079</v>
      </c>
      <c r="F148">
        <v>13.3</v>
      </c>
      <c r="G148" s="12">
        <v>0.97916666666666663</v>
      </c>
      <c r="H148" s="21">
        <f>8146*100/F148</f>
        <v>61248.120300751878</v>
      </c>
      <c r="I148">
        <v>47.4</v>
      </c>
      <c r="J148" s="12">
        <v>0.97916666666666663</v>
      </c>
      <c r="K148" s="21">
        <f>8146*100/I148</f>
        <v>17185.654008438818</v>
      </c>
    </row>
    <row r="149" spans="1:11">
      <c r="A149" s="23"/>
      <c r="B149" s="11">
        <v>37025</v>
      </c>
      <c r="C149">
        <v>41.6</v>
      </c>
      <c r="D149" s="12">
        <v>0.97916666666666663</v>
      </c>
      <c r="E149" s="21">
        <f>9557*100/C149</f>
        <v>22973.557692307691</v>
      </c>
      <c r="F149">
        <v>15.8</v>
      </c>
      <c r="G149" s="12">
        <v>0.9375</v>
      </c>
      <c r="H149" s="21">
        <f>9694*100/F149</f>
        <v>61354.430379746831</v>
      </c>
      <c r="I149">
        <v>64.5</v>
      </c>
      <c r="J149" s="12">
        <v>0.89583333333333337</v>
      </c>
      <c r="K149" s="21">
        <f>8734*100/I149</f>
        <v>13541.08527131783</v>
      </c>
    </row>
    <row r="150" spans="1:11">
      <c r="A150" s="23"/>
      <c r="B150" s="11">
        <v>37026</v>
      </c>
      <c r="C150">
        <v>39.299999999999997</v>
      </c>
      <c r="D150" s="12">
        <v>0.9375</v>
      </c>
      <c r="E150" s="21">
        <f>9130*100/C150</f>
        <v>23231.552162849875</v>
      </c>
      <c r="F150">
        <v>13.8</v>
      </c>
      <c r="G150" s="12">
        <v>0.9375</v>
      </c>
      <c r="H150" s="21">
        <f>9130*100/F150</f>
        <v>66159.420289855072</v>
      </c>
      <c r="I150">
        <v>56.3</v>
      </c>
      <c r="J150" s="12">
        <v>0.89583333333333337</v>
      </c>
      <c r="K150" s="21">
        <f>8929*100/I150</f>
        <v>15859.680284191831</v>
      </c>
    </row>
    <row r="151" spans="1:11">
      <c r="B151" s="11"/>
      <c r="D151" s="12"/>
      <c r="E151" s="21"/>
      <c r="G151" s="12"/>
      <c r="H151" s="21"/>
      <c r="J151" s="12"/>
      <c r="K151" s="16"/>
    </row>
    <row r="152" spans="1:11">
      <c r="D152" s="19" t="s">
        <v>49</v>
      </c>
      <c r="E152" s="22">
        <f>AVERAGE(E125:E137)</f>
        <v>18748.236508617316</v>
      </c>
      <c r="H152" s="22">
        <f>AVERAGE(H125:H137)</f>
        <v>18369.104936696611</v>
      </c>
      <c r="K152" s="22">
        <f>AVERAGE(K125:K137)</f>
        <v>12803.443277221759</v>
      </c>
    </row>
    <row r="153" spans="1:11">
      <c r="D153" s="19" t="s">
        <v>59</v>
      </c>
      <c r="E153" s="16">
        <f>AVERAGE(E138:E142)</f>
        <v>25289.959324162384</v>
      </c>
      <c r="H153" s="16">
        <f>AVERAGE(H138:H142)</f>
        <v>103583.92654358607</v>
      </c>
      <c r="K153" s="16">
        <f>AVERAGE(K138:K142)</f>
        <v>19114.215616397149</v>
      </c>
    </row>
    <row r="154" spans="1:11">
      <c r="D154" s="19" t="s">
        <v>60</v>
      </c>
      <c r="E154" s="16">
        <f>AVERAGE(E143:E150)</f>
        <v>23274.128062725067</v>
      </c>
      <c r="H154" s="16">
        <f>AVERAGE(H143:H150)</f>
        <v>63268.817827687832</v>
      </c>
      <c r="K154" s="16">
        <f>AVERAGE(K143:K150)</f>
        <v>17106.278927206935</v>
      </c>
    </row>
    <row r="155" spans="1:11">
      <c r="D155" s="19"/>
      <c r="E155" s="16"/>
      <c r="H155" s="16"/>
      <c r="K155" s="16"/>
    </row>
    <row r="156" spans="1:11">
      <c r="A156" s="19" t="s">
        <v>33</v>
      </c>
      <c r="B156" t="s">
        <v>54</v>
      </c>
      <c r="D156" s="19"/>
      <c r="E156" s="16"/>
      <c r="H156" s="16"/>
      <c r="K156" s="16"/>
    </row>
    <row r="157" spans="1:11">
      <c r="A157" s="23" t="s">
        <v>52</v>
      </c>
      <c r="B157" t="s">
        <v>53</v>
      </c>
      <c r="D157" s="19"/>
      <c r="E157" s="16"/>
      <c r="H157" s="16"/>
      <c r="K157" s="16"/>
    </row>
    <row r="167" spans="2:11">
      <c r="B167" s="1"/>
      <c r="C167" s="7" t="s">
        <v>56</v>
      </c>
      <c r="D167" s="8"/>
      <c r="E167" s="8"/>
      <c r="F167" s="7" t="s">
        <v>58</v>
      </c>
      <c r="G167" s="8"/>
      <c r="H167" s="9"/>
      <c r="I167" s="7" t="s">
        <v>46</v>
      </c>
      <c r="J167" s="8"/>
      <c r="K167" s="9"/>
    </row>
    <row r="168" spans="2:11">
      <c r="B168" s="2" t="s">
        <v>2</v>
      </c>
      <c r="C168" s="10" t="s">
        <v>3</v>
      </c>
      <c r="D168" s="8" t="s">
        <v>4</v>
      </c>
      <c r="E168" s="9" t="s">
        <v>26</v>
      </c>
      <c r="F168" s="10" t="s">
        <v>3</v>
      </c>
      <c r="G168" s="9" t="s">
        <v>4</v>
      </c>
      <c r="H168" s="9" t="s">
        <v>26</v>
      </c>
      <c r="I168" s="10" t="s">
        <v>3</v>
      </c>
      <c r="J168" s="9" t="s">
        <v>4</v>
      </c>
      <c r="K168" s="9" t="s">
        <v>26</v>
      </c>
    </row>
    <row r="169" spans="2:11">
      <c r="B169" s="11">
        <v>37001</v>
      </c>
      <c r="C169">
        <v>62.8</v>
      </c>
      <c r="D169" s="12">
        <v>0.9375</v>
      </c>
      <c r="E169" s="16">
        <f>7184*100/C169</f>
        <v>11439.490445859874</v>
      </c>
      <c r="F169">
        <v>40.700000000000003</v>
      </c>
      <c r="G169" s="12">
        <v>0.72916666666666663</v>
      </c>
      <c r="H169" s="16">
        <f>6989*100/F169</f>
        <v>17171.990171990172</v>
      </c>
    </row>
    <row r="170" spans="2:11">
      <c r="B170" s="11">
        <v>37002</v>
      </c>
      <c r="C170">
        <v>59.7</v>
      </c>
      <c r="D170" s="12">
        <v>0.9375</v>
      </c>
      <c r="E170" s="16">
        <f>6387*100/C170</f>
        <v>10698.492462311557</v>
      </c>
      <c r="F170">
        <v>37.5</v>
      </c>
      <c r="G170" s="12">
        <v>0.97916666666666663</v>
      </c>
      <c r="H170" s="16">
        <f>7064*100/F170</f>
        <v>18837.333333333332</v>
      </c>
    </row>
    <row r="171" spans="2:11">
      <c r="B171" s="11">
        <v>37003</v>
      </c>
      <c r="C171">
        <v>84.1</v>
      </c>
      <c r="D171" s="12">
        <v>0.89583333333333337</v>
      </c>
      <c r="E171" s="16">
        <f>12208*100/C171</f>
        <v>14516.052318668253</v>
      </c>
      <c r="F171">
        <v>44.4</v>
      </c>
      <c r="G171" s="12">
        <v>0.89583333333333337</v>
      </c>
      <c r="H171" s="16">
        <f>12208*100/F171</f>
        <v>27495.495495495496</v>
      </c>
    </row>
    <row r="172" spans="2:11">
      <c r="B172" s="11">
        <v>37004</v>
      </c>
      <c r="C172">
        <v>84.6</v>
      </c>
      <c r="D172" s="12">
        <v>0.97916666666666663</v>
      </c>
      <c r="E172" s="16">
        <f>10412*100/C172</f>
        <v>12307.328605200946</v>
      </c>
      <c r="F172">
        <v>60.6</v>
      </c>
      <c r="G172" s="12">
        <v>0.64583333333333337</v>
      </c>
      <c r="H172" s="16">
        <f>7196*100/F172</f>
        <v>11874.587458745875</v>
      </c>
    </row>
    <row r="173" spans="2:11">
      <c r="B173" s="11">
        <v>37005</v>
      </c>
      <c r="C173">
        <v>81.5</v>
      </c>
      <c r="D173" s="12">
        <v>0.97916666666666663</v>
      </c>
      <c r="E173" s="16">
        <f>8867*100/C173</f>
        <v>10879.754601226994</v>
      </c>
      <c r="F173">
        <v>45.3</v>
      </c>
      <c r="G173" s="12">
        <v>0.8125</v>
      </c>
      <c r="H173" s="16">
        <f>8241*100/F173</f>
        <v>18192.052980132452</v>
      </c>
    </row>
    <row r="174" spans="2:11">
      <c r="B174" s="11">
        <v>37006</v>
      </c>
      <c r="C174">
        <v>81.3</v>
      </c>
      <c r="D174" s="12">
        <v>0.9375</v>
      </c>
      <c r="E174" s="16">
        <f>16068*100/C174</f>
        <v>19763.837638376386</v>
      </c>
      <c r="F174">
        <v>44.8</v>
      </c>
      <c r="G174" s="12">
        <v>0.97916666666666663</v>
      </c>
      <c r="H174" s="16">
        <f>15580*100/F174</f>
        <v>34776.785714285717</v>
      </c>
    </row>
    <row r="175" spans="2:11">
      <c r="B175" s="11">
        <v>37007</v>
      </c>
      <c r="C175">
        <v>72</v>
      </c>
      <c r="D175" s="12">
        <v>0.9375</v>
      </c>
      <c r="E175" s="16">
        <f>8000*100/C175</f>
        <v>11111.111111111111</v>
      </c>
      <c r="F175">
        <v>40.799999999999997</v>
      </c>
      <c r="G175" s="12">
        <v>0.9375</v>
      </c>
      <c r="H175" s="16">
        <f>8000*100/F175</f>
        <v>19607.843137254902</v>
      </c>
    </row>
    <row r="176" spans="2:11">
      <c r="B176" s="11">
        <v>37008</v>
      </c>
      <c r="C176">
        <v>60.1</v>
      </c>
      <c r="D176" s="12">
        <v>0.9375</v>
      </c>
      <c r="E176" s="16">
        <f>6759*100/C176</f>
        <v>11246.256239600665</v>
      </c>
      <c r="F176">
        <v>37</v>
      </c>
      <c r="G176" s="12">
        <v>0.72916666666666663</v>
      </c>
      <c r="H176" s="16">
        <f>6301*100/F176</f>
        <v>17029.72972972973</v>
      </c>
    </row>
    <row r="177" spans="1:11">
      <c r="B177" s="11">
        <v>37009</v>
      </c>
      <c r="C177">
        <v>65.400000000000006</v>
      </c>
      <c r="D177" s="12">
        <v>0.89583333333333337</v>
      </c>
      <c r="E177" s="16">
        <f>5685*100/C177</f>
        <v>8692.6605504587151</v>
      </c>
      <c r="F177">
        <v>43.1</v>
      </c>
      <c r="G177" s="12">
        <v>0.9375</v>
      </c>
      <c r="H177" s="16">
        <f>6102*100/F177</f>
        <v>14157.772621809745</v>
      </c>
    </row>
    <row r="178" spans="1:11">
      <c r="B178" s="11">
        <v>37010</v>
      </c>
      <c r="C178">
        <v>84.6</v>
      </c>
      <c r="D178" s="12">
        <v>0.9375</v>
      </c>
      <c r="E178" s="21">
        <f>13905*100/C178</f>
        <v>16436.170212765959</v>
      </c>
      <c r="F178">
        <v>42.7</v>
      </c>
      <c r="G178" s="12">
        <v>0.97916666666666663</v>
      </c>
      <c r="H178" s="21">
        <f>14594*100/F178</f>
        <v>34177.985948477748</v>
      </c>
    </row>
    <row r="179" spans="1:11">
      <c r="B179" s="11">
        <v>37011</v>
      </c>
      <c r="C179">
        <v>74.900000000000006</v>
      </c>
      <c r="D179" s="12">
        <v>0.89583333333333337</v>
      </c>
      <c r="E179" s="21">
        <f>8600*100/C179</f>
        <v>11481.975967957276</v>
      </c>
      <c r="F179">
        <v>45.2</v>
      </c>
      <c r="G179" s="12">
        <v>0.89583333333333337</v>
      </c>
      <c r="H179" s="21">
        <f>8600*100/F179</f>
        <v>19026.548672566372</v>
      </c>
    </row>
    <row r="180" spans="1:11">
      <c r="B180" s="11">
        <v>37012</v>
      </c>
      <c r="C180">
        <v>89.4</v>
      </c>
      <c r="D180" s="12">
        <v>0.9375</v>
      </c>
      <c r="E180" s="21">
        <f>8271*100/C180</f>
        <v>9251.677852348992</v>
      </c>
      <c r="F180">
        <v>47.1</v>
      </c>
      <c r="G180" s="12">
        <v>0.9375</v>
      </c>
      <c r="H180" s="21">
        <f>8271*100/F180</f>
        <v>17560.509554140128</v>
      </c>
    </row>
    <row r="181" spans="1:11">
      <c r="B181" s="11">
        <v>37013</v>
      </c>
      <c r="C181">
        <v>77.900000000000006</v>
      </c>
      <c r="D181" s="12">
        <v>0.9375</v>
      </c>
      <c r="E181" s="21">
        <f>7749*100/C181</f>
        <v>9947.3684210526317</v>
      </c>
      <c r="F181">
        <v>49.8</v>
      </c>
      <c r="G181" s="12">
        <v>0.9375</v>
      </c>
      <c r="H181" s="21">
        <f>7749*100/F181</f>
        <v>15560.240963855422</v>
      </c>
    </row>
    <row r="182" spans="1:11">
      <c r="A182" s="19" t="s">
        <v>33</v>
      </c>
      <c r="B182" s="11">
        <v>37014</v>
      </c>
      <c r="C182">
        <v>71.599999999999994</v>
      </c>
      <c r="D182" s="12">
        <v>0.9375</v>
      </c>
      <c r="E182" s="21">
        <f>6554*100/C182</f>
        <v>9153.6312849162023</v>
      </c>
      <c r="F182">
        <v>46.5</v>
      </c>
      <c r="G182" s="12">
        <v>0.97916666666666663</v>
      </c>
      <c r="H182" s="21">
        <f>6996*100/F182</f>
        <v>15045.161290322581</v>
      </c>
      <c r="I182">
        <v>9.1999999999999993</v>
      </c>
      <c r="J182" s="12">
        <v>0.9375</v>
      </c>
      <c r="K182" s="21">
        <f>6554*100/I182</f>
        <v>71239.130434782608</v>
      </c>
    </row>
    <row r="183" spans="1:11">
      <c r="B183" s="11">
        <v>37015</v>
      </c>
      <c r="C183">
        <v>63.2</v>
      </c>
      <c r="D183" s="12">
        <v>0.97916666666666663</v>
      </c>
      <c r="E183" s="21">
        <f>9575*100/C183</f>
        <v>15150.316455696202</v>
      </c>
      <c r="F183">
        <v>42.4</v>
      </c>
      <c r="G183" s="12">
        <v>0.97916666666666663</v>
      </c>
      <c r="H183" s="21">
        <f>9575*100/F183</f>
        <v>22582.547169811322</v>
      </c>
      <c r="I183">
        <v>8.8000000000000007</v>
      </c>
      <c r="J183" s="12">
        <v>0.97916666666666663</v>
      </c>
      <c r="K183" s="21">
        <f>9575*100/I183</f>
        <v>108806.81818181818</v>
      </c>
    </row>
    <row r="184" spans="1:11">
      <c r="B184" s="11">
        <v>37016</v>
      </c>
      <c r="C184">
        <v>50.9</v>
      </c>
      <c r="D184" s="12">
        <v>0.97916666666666663</v>
      </c>
      <c r="E184" s="21">
        <f>6477*100/C184</f>
        <v>12724.950884086444</v>
      </c>
      <c r="F184">
        <v>35.4</v>
      </c>
      <c r="G184" s="12">
        <v>0.97916666666666663</v>
      </c>
      <c r="H184" s="21">
        <f>6477*100/F184</f>
        <v>18296.610169491527</v>
      </c>
      <c r="I184">
        <v>6.8</v>
      </c>
      <c r="J184" s="12">
        <v>0.77083333333333337</v>
      </c>
      <c r="K184" s="21">
        <f>5436*100/I184</f>
        <v>79941.176470588238</v>
      </c>
    </row>
    <row r="185" spans="1:11">
      <c r="B185" s="11">
        <v>37017</v>
      </c>
      <c r="C185">
        <v>77.900000000000006</v>
      </c>
      <c r="D185" s="12">
        <v>0.9375</v>
      </c>
      <c r="E185" s="21">
        <f>6861*100/C185</f>
        <v>8807.4454428754816</v>
      </c>
      <c r="F185">
        <v>49</v>
      </c>
      <c r="G185" s="12">
        <v>0.9375</v>
      </c>
      <c r="H185" s="21">
        <f>6861*100/F185</f>
        <v>14002.040816326531</v>
      </c>
      <c r="I185">
        <v>9.1999999999999993</v>
      </c>
      <c r="J185" s="12">
        <v>0.9375</v>
      </c>
      <c r="K185" s="21">
        <f>6861*100/I185</f>
        <v>74576.086956521744</v>
      </c>
    </row>
    <row r="186" spans="1:11">
      <c r="B186" s="11">
        <v>37018</v>
      </c>
      <c r="C186">
        <v>92.1</v>
      </c>
      <c r="D186" s="12">
        <v>0.9375</v>
      </c>
      <c r="E186" s="21">
        <f>8428*100/C186</f>
        <v>9150.9229098805645</v>
      </c>
      <c r="F186">
        <v>60.3</v>
      </c>
      <c r="G186" s="12">
        <v>0.9375</v>
      </c>
      <c r="H186" s="21">
        <f>8428*100/F186</f>
        <v>13976.782752902156</v>
      </c>
      <c r="I186">
        <v>9.9</v>
      </c>
      <c r="J186" s="12">
        <v>0.9375</v>
      </c>
      <c r="K186" s="21">
        <f>8428*100/I186</f>
        <v>85131.313131313131</v>
      </c>
    </row>
    <row r="187" spans="1:11">
      <c r="A187" s="23" t="s">
        <v>52</v>
      </c>
      <c r="B187" s="11">
        <v>37019</v>
      </c>
      <c r="C187">
        <v>45.6</v>
      </c>
      <c r="D187" s="12">
        <v>0.9375</v>
      </c>
      <c r="E187" s="21">
        <f>8545*100/C187</f>
        <v>18739.035087719298</v>
      </c>
      <c r="F187">
        <v>50.1</v>
      </c>
      <c r="G187" s="12">
        <v>0.9375</v>
      </c>
      <c r="H187" s="21">
        <f>8545*100/F187</f>
        <v>17055.888223552894</v>
      </c>
      <c r="I187">
        <v>9.6</v>
      </c>
      <c r="J187" s="12">
        <v>0.9375</v>
      </c>
      <c r="K187" s="21">
        <f>8545*100/I187</f>
        <v>89010.416666666672</v>
      </c>
    </row>
    <row r="188" spans="1:11">
      <c r="A188" s="23"/>
      <c r="B188" s="11">
        <v>37020</v>
      </c>
      <c r="C188">
        <v>47</v>
      </c>
      <c r="D188" s="12">
        <v>0.9375</v>
      </c>
      <c r="E188" s="21">
        <f>8230*100/C188</f>
        <v>17510.638297872341</v>
      </c>
      <c r="F188">
        <v>59.3</v>
      </c>
      <c r="G188" s="12">
        <v>0.89583333333333337</v>
      </c>
      <c r="H188" s="21">
        <f>7818*100/F188</f>
        <v>13183.811129848231</v>
      </c>
      <c r="I188">
        <v>10</v>
      </c>
      <c r="J188" s="12">
        <v>0.97916666666666663</v>
      </c>
      <c r="K188" s="21">
        <f>8222*100/I188</f>
        <v>82220</v>
      </c>
    </row>
    <row r="189" spans="1:11">
      <c r="A189" s="23"/>
      <c r="B189" s="11">
        <v>37021</v>
      </c>
      <c r="C189">
        <v>43.7</v>
      </c>
      <c r="D189" s="12">
        <v>0.89583333333333337</v>
      </c>
      <c r="E189" s="21">
        <f>7502*100/C189</f>
        <v>17167.048054919906</v>
      </c>
      <c r="F189">
        <v>52.1</v>
      </c>
      <c r="G189" s="12">
        <v>0.60416666666666663</v>
      </c>
      <c r="H189" s="21">
        <f>9388*100/F189</f>
        <v>18019.193857965449</v>
      </c>
      <c r="I189">
        <v>9.9</v>
      </c>
      <c r="J189" s="12">
        <v>0.97916666666666663</v>
      </c>
      <c r="K189" s="21">
        <f>7337*100/I189</f>
        <v>74111.111111111109</v>
      </c>
    </row>
    <row r="190" spans="1:11">
      <c r="A190" s="23"/>
      <c r="B190" s="11">
        <v>37022</v>
      </c>
      <c r="C190">
        <v>37.700000000000003</v>
      </c>
      <c r="D190" s="12">
        <v>0.97916666666666663</v>
      </c>
      <c r="E190" s="21">
        <f>7201*100/C190</f>
        <v>19100.795755968167</v>
      </c>
      <c r="F190">
        <v>48.7</v>
      </c>
      <c r="G190" s="12">
        <v>0.97916666666666663</v>
      </c>
      <c r="H190" s="21">
        <f>7201*100/F190</f>
        <v>14786.447638603695</v>
      </c>
      <c r="I190">
        <v>9.5</v>
      </c>
      <c r="J190" s="12">
        <v>0.97916666666666663</v>
      </c>
      <c r="K190" s="21">
        <f>7201*100/I190</f>
        <v>75800</v>
      </c>
    </row>
    <row r="191" spans="1:11">
      <c r="A191" s="23"/>
      <c r="B191" s="11">
        <v>37023</v>
      </c>
      <c r="C191">
        <v>33.700000000000003</v>
      </c>
      <c r="D191" s="12">
        <v>0.9375</v>
      </c>
      <c r="E191" s="21">
        <f>6716*100/C191</f>
        <v>19928.783382789316</v>
      </c>
      <c r="F191">
        <v>40.5</v>
      </c>
      <c r="G191" s="12">
        <v>0.97916666666666663</v>
      </c>
      <c r="H191" s="21">
        <f>6588*100/F191</f>
        <v>16266.666666666666</v>
      </c>
      <c r="I191">
        <v>7.5</v>
      </c>
      <c r="J191" s="12">
        <v>0.89583333333333337</v>
      </c>
      <c r="K191" s="21">
        <f>6626*100/I191</f>
        <v>88346.666666666672</v>
      </c>
    </row>
    <row r="192" spans="1:11">
      <c r="A192" s="23"/>
      <c r="B192" s="11">
        <v>37024</v>
      </c>
      <c r="C192">
        <v>53</v>
      </c>
      <c r="D192" s="12">
        <v>0.9375</v>
      </c>
      <c r="E192" s="21">
        <f>7725*100/C192</f>
        <v>14575.471698113208</v>
      </c>
      <c r="F192">
        <v>53.1</v>
      </c>
      <c r="G192" s="12">
        <v>0.97916666666666663</v>
      </c>
      <c r="H192" s="21">
        <f>8146*100/F192</f>
        <v>15340.866290018832</v>
      </c>
      <c r="I192">
        <v>10.199999999999999</v>
      </c>
      <c r="J192" s="12">
        <v>0.97916666666666663</v>
      </c>
      <c r="K192" s="21">
        <f>8146*100/I192</f>
        <v>79862.745098039217</v>
      </c>
    </row>
    <row r="193" spans="1:11">
      <c r="A193" s="23"/>
      <c r="B193" s="11">
        <v>37025</v>
      </c>
      <c r="C193">
        <v>54.2</v>
      </c>
      <c r="D193" s="12">
        <v>0.9375</v>
      </c>
      <c r="E193" s="21">
        <f>9694*100/C193</f>
        <v>17885.608856088558</v>
      </c>
      <c r="F193">
        <v>80</v>
      </c>
      <c r="G193" s="12">
        <v>0.97916666666666663</v>
      </c>
      <c r="H193" s="21">
        <f>9557*100/F193</f>
        <v>11946.25</v>
      </c>
      <c r="I193">
        <v>11.7</v>
      </c>
      <c r="J193" s="12">
        <v>0.97916666666666663</v>
      </c>
      <c r="K193" s="21">
        <f>9557*100/I193</f>
        <v>81683.760683760687</v>
      </c>
    </row>
    <row r="194" spans="1:11">
      <c r="A194" s="23"/>
      <c r="B194" s="11">
        <v>37026</v>
      </c>
      <c r="C194">
        <v>51.1</v>
      </c>
      <c r="D194" s="12">
        <v>0.9375</v>
      </c>
      <c r="E194" s="21">
        <f>9130*100/C194</f>
        <v>17866.927592954991</v>
      </c>
      <c r="F194">
        <v>76</v>
      </c>
      <c r="G194" s="12">
        <v>0.9375</v>
      </c>
      <c r="H194" s="21">
        <f>9130*100/F194</f>
        <v>12013.157894736842</v>
      </c>
      <c r="I194">
        <v>11.1</v>
      </c>
      <c r="J194" s="12">
        <v>0.89583333333333337</v>
      </c>
      <c r="K194" s="21">
        <f>8929*100/I194</f>
        <v>80441.44144144145</v>
      </c>
    </row>
    <row r="195" spans="1:11">
      <c r="B195" s="11"/>
      <c r="D195" s="12"/>
      <c r="E195" s="21"/>
      <c r="G195" s="12"/>
      <c r="H195" s="21"/>
    </row>
    <row r="196" spans="1:11">
      <c r="D196" s="19" t="s">
        <v>49</v>
      </c>
      <c r="E196" s="22">
        <f>AVERAGE(E169:E181)</f>
        <v>12136.321263610722</v>
      </c>
      <c r="H196" s="22">
        <f>AVERAGE(H169:H181)</f>
        <v>20420.682752447468</v>
      </c>
      <c r="K196" s="22">
        <v>0</v>
      </c>
    </row>
    <row r="197" spans="1:11">
      <c r="D197" s="19" t="s">
        <v>59</v>
      </c>
      <c r="E197" s="16">
        <f>AVERAGE(E182:E186)</f>
        <v>10997.45339549098</v>
      </c>
      <c r="H197" s="16">
        <f>AVERAGE(H182:H186)</f>
        <v>16780.628439770826</v>
      </c>
      <c r="K197" s="16">
        <f>AVERAGE(K182:K186)</f>
        <v>83938.905035004776</v>
      </c>
    </row>
    <row r="198" spans="1:11">
      <c r="D198" s="19" t="s">
        <v>60</v>
      </c>
      <c r="E198" s="16">
        <f>AVERAGE(E187:E194)</f>
        <v>17846.788590803226</v>
      </c>
      <c r="H198" s="16">
        <f>AVERAGE(H187:H194)</f>
        <v>14826.535212674078</v>
      </c>
      <c r="K198" s="16">
        <f>AVERAGE(K187:K194)</f>
        <v>81434.517708460728</v>
      </c>
    </row>
    <row r="200" spans="1:11">
      <c r="A200" s="19" t="s">
        <v>33</v>
      </c>
      <c r="B200" t="s">
        <v>54</v>
      </c>
    </row>
    <row r="201" spans="1:11">
      <c r="A201" s="23" t="s">
        <v>52</v>
      </c>
      <c r="B201" t="s">
        <v>53</v>
      </c>
    </row>
    <row r="203" spans="1:11">
      <c r="A203" s="23"/>
    </row>
    <row r="204" spans="1:11">
      <c r="A204" s="23"/>
    </row>
    <row r="205" spans="1:11">
      <c r="A205" s="23"/>
    </row>
    <row r="206" spans="1:11">
      <c r="A206" s="23"/>
    </row>
    <row r="207" spans="1:11">
      <c r="A207" s="23"/>
    </row>
    <row r="208" spans="1:11">
      <c r="A208" s="23"/>
    </row>
    <row r="209" spans="1:11">
      <c r="B209" s="1"/>
      <c r="C209" s="7" t="s">
        <v>47</v>
      </c>
      <c r="D209" s="8"/>
      <c r="E209" s="8"/>
      <c r="F209" s="7" t="s">
        <v>55</v>
      </c>
      <c r="G209" s="8"/>
      <c r="H209" s="9"/>
      <c r="I209" s="7" t="s">
        <v>48</v>
      </c>
      <c r="J209" s="8"/>
      <c r="K209" s="9"/>
    </row>
    <row r="210" spans="1:11">
      <c r="B210" s="2" t="s">
        <v>2</v>
      </c>
      <c r="C210" s="10" t="s">
        <v>3</v>
      </c>
      <c r="D210" s="8" t="s">
        <v>4</v>
      </c>
      <c r="E210" s="9" t="s">
        <v>26</v>
      </c>
      <c r="F210" s="10" t="s">
        <v>3</v>
      </c>
      <c r="G210" s="9" t="s">
        <v>4</v>
      </c>
      <c r="H210" s="9" t="s">
        <v>26</v>
      </c>
      <c r="I210" s="10" t="s">
        <v>3</v>
      </c>
      <c r="J210" s="9" t="s">
        <v>4</v>
      </c>
      <c r="K210" s="9" t="s">
        <v>26</v>
      </c>
    </row>
    <row r="211" spans="1:11">
      <c r="A211" s="19"/>
      <c r="B211" s="11">
        <v>37014</v>
      </c>
      <c r="C211">
        <v>10.199999999999999</v>
      </c>
      <c r="D211" s="12">
        <v>0.97916666666666663</v>
      </c>
      <c r="E211" s="21">
        <f>6996*100/C211</f>
        <v>68588.23529411765</v>
      </c>
      <c r="F211">
        <v>2.6</v>
      </c>
      <c r="G211" s="12">
        <v>0.77083333333333337</v>
      </c>
      <c r="H211" s="21">
        <f>6057*100/F211</f>
        <v>232961.53846153844</v>
      </c>
      <c r="I211">
        <v>25.9</v>
      </c>
      <c r="J211" s="12">
        <v>0.97916666666666663</v>
      </c>
      <c r="K211" s="21">
        <f>6996*100/I211</f>
        <v>27011.583011583014</v>
      </c>
    </row>
    <row r="212" spans="1:11">
      <c r="B212" s="11">
        <v>37015</v>
      </c>
      <c r="C212">
        <v>8.8000000000000007</v>
      </c>
      <c r="D212" s="12">
        <v>0.97916666666666663</v>
      </c>
      <c r="E212" s="21">
        <f>9575*100/C212</f>
        <v>108806.81818181818</v>
      </c>
      <c r="F212">
        <v>2.5</v>
      </c>
      <c r="G212" s="12">
        <v>0.89583333333333337</v>
      </c>
      <c r="H212" s="21">
        <f>6656*100/F212</f>
        <v>266240</v>
      </c>
      <c r="I212">
        <v>26.5</v>
      </c>
      <c r="J212" s="12">
        <v>0.97916666666666663</v>
      </c>
      <c r="K212" s="21">
        <f>9575*100/I212</f>
        <v>36132.07547169811</v>
      </c>
    </row>
    <row r="213" spans="1:11">
      <c r="B213" s="11">
        <v>37016</v>
      </c>
      <c r="C213">
        <v>7.6</v>
      </c>
      <c r="D213" s="12">
        <v>0.9375</v>
      </c>
      <c r="E213" s="21">
        <f>7749*100/C213</f>
        <v>101960.52631578948</v>
      </c>
      <c r="F213">
        <v>2.2999999999999998</v>
      </c>
      <c r="G213" s="12">
        <v>0.9375</v>
      </c>
      <c r="H213" s="21">
        <f>6088*100/F213</f>
        <v>264695.65217391308</v>
      </c>
      <c r="I213">
        <v>21.3</v>
      </c>
      <c r="J213" s="12">
        <v>0.9375</v>
      </c>
      <c r="K213" s="21">
        <f>6088*100/I213</f>
        <v>28582.159624413143</v>
      </c>
    </row>
    <row r="214" spans="1:11">
      <c r="B214" s="11">
        <v>37017</v>
      </c>
      <c r="C214">
        <v>11</v>
      </c>
      <c r="D214" s="12">
        <v>0.97916666666666663</v>
      </c>
      <c r="E214" s="21">
        <f>7468*100/C214</f>
        <v>67890.909090909088</v>
      </c>
      <c r="F214">
        <v>3.1</v>
      </c>
      <c r="G214" s="12">
        <v>0.97916666666666663</v>
      </c>
      <c r="H214" s="21">
        <f>7468*100/F214</f>
        <v>240903.22580645161</v>
      </c>
      <c r="I214">
        <v>29.2</v>
      </c>
      <c r="J214" s="12">
        <v>0.97916666666666663</v>
      </c>
      <c r="K214" s="21">
        <f>7468*100/I214</f>
        <v>25575.342465753427</v>
      </c>
    </row>
    <row r="215" spans="1:11">
      <c r="B215" s="11">
        <v>37018</v>
      </c>
      <c r="C215">
        <v>12.6</v>
      </c>
      <c r="D215" s="12">
        <v>0.9375</v>
      </c>
      <c r="E215" s="21">
        <f>8428*100/C215</f>
        <v>66888.888888888891</v>
      </c>
      <c r="F215">
        <v>3.1</v>
      </c>
      <c r="G215" s="12">
        <v>0.97916666666666663</v>
      </c>
      <c r="H215" s="21">
        <f>8428*100/F215</f>
        <v>271870.96774193546</v>
      </c>
      <c r="I215">
        <v>31.9</v>
      </c>
      <c r="J215" s="12">
        <v>0.9375</v>
      </c>
      <c r="K215" s="21">
        <f>8428*100/I215</f>
        <v>26420.062695924767</v>
      </c>
    </row>
    <row r="216" spans="1:11">
      <c r="A216" s="23" t="s">
        <v>52</v>
      </c>
      <c r="B216" s="11">
        <v>37019</v>
      </c>
      <c r="C216">
        <v>10.6</v>
      </c>
      <c r="D216" s="12">
        <v>0.9375</v>
      </c>
      <c r="E216" s="21">
        <f>8545*100/C216</f>
        <v>80613.207547169819</v>
      </c>
      <c r="F216">
        <v>16.8</v>
      </c>
      <c r="G216" s="12">
        <v>0.9375</v>
      </c>
      <c r="H216" s="21">
        <f>8545*100/F216</f>
        <v>50863.095238095237</v>
      </c>
      <c r="I216">
        <v>32.1</v>
      </c>
      <c r="J216" s="12">
        <v>0.9375</v>
      </c>
      <c r="K216" s="21">
        <f>8545*100/I216</f>
        <v>26619.937694704047</v>
      </c>
    </row>
    <row r="217" spans="1:11">
      <c r="A217" s="23"/>
      <c r="B217" s="11">
        <v>37020</v>
      </c>
      <c r="C217">
        <v>10.7</v>
      </c>
      <c r="D217" s="12">
        <v>0.9375</v>
      </c>
      <c r="E217" s="21">
        <f>8230*100/C217</f>
        <v>76915.88785046729</v>
      </c>
      <c r="F217">
        <v>18</v>
      </c>
      <c r="G217" s="12">
        <v>0.9375</v>
      </c>
      <c r="H217" s="21">
        <f>8230*100/F217</f>
        <v>45722.222222222219</v>
      </c>
      <c r="I217">
        <v>31</v>
      </c>
      <c r="J217" s="12">
        <v>0.9375</v>
      </c>
      <c r="K217" s="21">
        <f>8230*100/I217</f>
        <v>26548.387096774193</v>
      </c>
    </row>
    <row r="218" spans="1:11">
      <c r="A218" s="23"/>
      <c r="B218" s="11">
        <v>37021</v>
      </c>
      <c r="C218">
        <v>9.8000000000000007</v>
      </c>
      <c r="D218" s="12">
        <v>0.6875</v>
      </c>
      <c r="E218" s="21">
        <f>6478*100/C218</f>
        <v>66102.040816326524</v>
      </c>
      <c r="F218">
        <v>16.3</v>
      </c>
      <c r="G218" s="12">
        <v>0.9375</v>
      </c>
      <c r="H218" s="21">
        <f>7748*100/F218</f>
        <v>47533.74233128834</v>
      </c>
      <c r="I218">
        <v>29.1</v>
      </c>
      <c r="J218" s="12">
        <v>0.89583333333333337</v>
      </c>
      <c r="K218" s="21">
        <f>7502*100/I218</f>
        <v>25780.068728522336</v>
      </c>
    </row>
    <row r="219" spans="1:11">
      <c r="A219" s="23"/>
      <c r="B219" s="11">
        <v>37022</v>
      </c>
      <c r="C219">
        <v>10</v>
      </c>
      <c r="D219" s="12">
        <v>0.72916666666666663</v>
      </c>
      <c r="E219" s="21">
        <f>6948*100/C219</f>
        <v>69480</v>
      </c>
      <c r="F219">
        <v>13.5</v>
      </c>
      <c r="G219" s="12">
        <v>0.9375</v>
      </c>
      <c r="H219" s="21">
        <f>7077*100/F219</f>
        <v>52422.222222222219</v>
      </c>
      <c r="I219">
        <v>28.2</v>
      </c>
      <c r="J219" s="12">
        <v>0.97916666666666663</v>
      </c>
      <c r="K219" s="21">
        <f>7201*100/I219</f>
        <v>25535.460992907803</v>
      </c>
    </row>
    <row r="220" spans="1:11">
      <c r="A220" s="23"/>
      <c r="B220" s="11">
        <v>37023</v>
      </c>
      <c r="C220">
        <v>8.1</v>
      </c>
      <c r="D220" s="12">
        <v>0.9375</v>
      </c>
      <c r="E220" s="21">
        <f>6716*100/C220</f>
        <v>82913.580246913582</v>
      </c>
      <c r="F220">
        <v>11.8</v>
      </c>
      <c r="G220" s="12">
        <v>0.9375</v>
      </c>
      <c r="H220" s="21">
        <f>6716*100/F220</f>
        <v>56915.254237288129</v>
      </c>
      <c r="I220">
        <v>24.6</v>
      </c>
      <c r="J220" s="12">
        <v>0.97916666666666663</v>
      </c>
      <c r="K220" s="21">
        <f>6588*100/I220</f>
        <v>26780.487804878048</v>
      </c>
    </row>
    <row r="221" spans="1:11">
      <c r="A221" s="23"/>
      <c r="B221" s="11">
        <v>37024</v>
      </c>
      <c r="C221">
        <v>11.9</v>
      </c>
      <c r="D221" s="12">
        <v>0.9375</v>
      </c>
      <c r="E221" s="21">
        <f>7725*100/C221</f>
        <v>64915.966386554617</v>
      </c>
      <c r="F221">
        <v>16.7</v>
      </c>
      <c r="G221" s="12">
        <v>0.9375</v>
      </c>
      <c r="H221" s="21">
        <f>7725*100/F221</f>
        <v>46257.485029940122</v>
      </c>
      <c r="I221">
        <v>33.299999999999997</v>
      </c>
      <c r="J221" s="12">
        <v>0.9375</v>
      </c>
      <c r="K221" s="21">
        <f>7725*100/I221</f>
        <v>23198.198198198199</v>
      </c>
    </row>
    <row r="222" spans="1:11">
      <c r="A222" s="23"/>
      <c r="B222" s="11">
        <v>37025</v>
      </c>
      <c r="C222">
        <v>13.3</v>
      </c>
      <c r="D222" s="12">
        <v>0.9375</v>
      </c>
      <c r="E222" s="21">
        <f>9694*100/C222</f>
        <v>72887.218045112779</v>
      </c>
      <c r="F222">
        <v>19.600000000000001</v>
      </c>
      <c r="G222" s="12">
        <v>0.97916666666666663</v>
      </c>
      <c r="H222" s="21">
        <f>9557*100/F222</f>
        <v>48760.204081632648</v>
      </c>
      <c r="I222">
        <v>36.200000000000003</v>
      </c>
      <c r="J222" s="12">
        <v>0.9375</v>
      </c>
      <c r="K222" s="21">
        <f>9694*100/I222</f>
        <v>26779.005524861877</v>
      </c>
    </row>
    <row r="223" spans="1:11">
      <c r="A223" s="23"/>
      <c r="B223" s="11">
        <v>37026</v>
      </c>
      <c r="C223">
        <v>12.5</v>
      </c>
      <c r="D223" s="12">
        <v>0.9375</v>
      </c>
      <c r="E223" s="21">
        <f>9130*100/C223</f>
        <v>73040</v>
      </c>
      <c r="F223">
        <v>20.100000000000001</v>
      </c>
      <c r="G223" s="12">
        <v>0.9375</v>
      </c>
      <c r="H223" s="21">
        <f>9130*100/F223</f>
        <v>45422.885572139297</v>
      </c>
      <c r="I223">
        <v>34.799999999999997</v>
      </c>
      <c r="J223" s="12">
        <v>0.9375</v>
      </c>
      <c r="K223" s="21">
        <f>9130*100/I223</f>
        <v>26235.632183908048</v>
      </c>
    </row>
    <row r="224" spans="1:11">
      <c r="A224" s="23"/>
      <c r="B224" s="11"/>
      <c r="D224" s="12"/>
      <c r="E224" s="21"/>
      <c r="G224" s="12"/>
      <c r="H224" s="21"/>
      <c r="J224" s="12"/>
      <c r="K224" s="21"/>
    </row>
    <row r="225" spans="1:12">
      <c r="D225" s="19" t="s">
        <v>59</v>
      </c>
      <c r="E225" s="22">
        <f>AVERAGE(E211:E215)</f>
        <v>82827.075554304669</v>
      </c>
      <c r="H225" s="22">
        <f>AVERAGE(H211:H215)</f>
        <v>255334.27683676773</v>
      </c>
      <c r="K225" s="22">
        <f>AVERAGE(K211:K215)</f>
        <v>28744.244653874495</v>
      </c>
    </row>
    <row r="226" spans="1:12">
      <c r="D226" s="19" t="s">
        <v>60</v>
      </c>
      <c r="E226" s="16">
        <f>AVERAGE(E216:E223)</f>
        <v>73358.487611568082</v>
      </c>
      <c r="F226" s="16"/>
      <c r="H226" s="16">
        <f>AVERAGE(H216:H223)</f>
        <v>49237.138866853529</v>
      </c>
      <c r="K226" s="16">
        <f>AVERAGE(K216:K223)</f>
        <v>25934.647278094319</v>
      </c>
      <c r="L226" s="16"/>
    </row>
    <row r="227" spans="1:12">
      <c r="A227" s="19"/>
    </row>
    <row r="228" spans="1:12">
      <c r="A228" s="23" t="s">
        <v>52</v>
      </c>
      <c r="B228" t="s">
        <v>53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jmunro</dc:creator>
  <cp:lastModifiedBy>jcui</cp:lastModifiedBy>
  <cp:lastPrinted>2001-05-07T19:55:27Z</cp:lastPrinted>
  <dcterms:created xsi:type="dcterms:W3CDTF">2001-04-24T14:39:40Z</dcterms:created>
  <dcterms:modified xsi:type="dcterms:W3CDTF">2012-10-26T15:50:25Z</dcterms:modified>
</cp:coreProperties>
</file>