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embeddings/oleObject9.bin" ContentType="application/vnd.openxmlformats-officedocument.oleObject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реподаватель 2\Desktop\КОМАРОВ\"/>
    </mc:Choice>
  </mc:AlternateContent>
  <bookViews>
    <workbookView xWindow="0" yWindow="0" windowWidth="17256" windowHeight="5772"/>
  </bookViews>
  <sheets>
    <sheet name="ЗАДАЧА 1" sheetId="3" r:id="rId1"/>
    <sheet name="ЗАДАЧА 2" sheetId="4" r:id="rId2"/>
    <sheet name="ЗАДАЧА 3" sheetId="1" r:id="rId3"/>
    <sheet name="Лист2" sheetId="2" r:id="rId4"/>
    <sheet name="Лист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7" i="3" l="1"/>
  <c r="H68" i="3"/>
  <c r="H69" i="3"/>
  <c r="H70" i="3"/>
  <c r="I70" i="3" s="1"/>
  <c r="H71" i="3"/>
  <c r="H72" i="3"/>
  <c r="H73" i="3"/>
  <c r="H74" i="3"/>
  <c r="H66" i="3"/>
  <c r="AE20" i="4"/>
  <c r="AD20" i="4"/>
  <c r="AD12" i="4"/>
  <c r="AD13" i="4"/>
  <c r="AD14" i="4"/>
  <c r="AD15" i="4"/>
  <c r="AD16" i="4"/>
  <c r="AD17" i="4"/>
  <c r="AD18" i="4"/>
  <c r="AD11" i="4"/>
  <c r="AE5" i="4"/>
  <c r="AE6" i="4"/>
  <c r="AE7" i="4"/>
  <c r="AE8" i="4"/>
  <c r="AE9" i="4"/>
  <c r="AE4" i="4"/>
  <c r="H29" i="4"/>
  <c r="R8" i="4" l="1"/>
  <c r="S8" i="4"/>
  <c r="T8" i="4"/>
  <c r="U8" i="4"/>
  <c r="V8" i="4"/>
  <c r="W8" i="4"/>
  <c r="X8" i="4"/>
  <c r="Y8" i="4"/>
  <c r="R9" i="4"/>
  <c r="S9" i="4"/>
  <c r="T9" i="4"/>
  <c r="U9" i="4"/>
  <c r="V9" i="4"/>
  <c r="W9" i="4"/>
  <c r="X9" i="4"/>
  <c r="Y9" i="4"/>
  <c r="R10" i="4"/>
  <c r="S10" i="4"/>
  <c r="T10" i="4"/>
  <c r="U10" i="4"/>
  <c r="V10" i="4"/>
  <c r="W10" i="4"/>
  <c r="X10" i="4"/>
  <c r="Y10" i="4"/>
  <c r="R11" i="4"/>
  <c r="S11" i="4"/>
  <c r="T11" i="4"/>
  <c r="U11" i="4"/>
  <c r="V11" i="4"/>
  <c r="W11" i="4"/>
  <c r="X11" i="4"/>
  <c r="Y11" i="4"/>
  <c r="R12" i="4"/>
  <c r="S12" i="4"/>
  <c r="T12" i="4"/>
  <c r="U12" i="4"/>
  <c r="V12" i="4"/>
  <c r="W12" i="4"/>
  <c r="X12" i="4"/>
  <c r="Y12" i="4"/>
  <c r="T7" i="4"/>
  <c r="V7" i="4"/>
  <c r="W7" i="4"/>
  <c r="X7" i="4"/>
  <c r="Y7" i="4"/>
  <c r="R7" i="4"/>
  <c r="S7" i="4"/>
  <c r="U7" i="4"/>
  <c r="P10" i="5"/>
  <c r="P9" i="5"/>
  <c r="P8" i="5"/>
  <c r="O8" i="5"/>
  <c r="O12" i="5" s="1"/>
  <c r="N8" i="5"/>
  <c r="S8" i="5" s="1"/>
  <c r="Q8" i="5"/>
  <c r="Q12" i="5" s="1"/>
  <c r="R8" i="5"/>
  <c r="N9" i="5"/>
  <c r="S9" i="5" s="1"/>
  <c r="O9" i="5"/>
  <c r="Q9" i="5"/>
  <c r="R9" i="5"/>
  <c r="N10" i="5"/>
  <c r="S10" i="5" s="1"/>
  <c r="O10" i="5"/>
  <c r="Q10" i="5"/>
  <c r="R10" i="5"/>
  <c r="N11" i="5"/>
  <c r="S11" i="5" s="1"/>
  <c r="O11" i="5"/>
  <c r="P11" i="5"/>
  <c r="Q11" i="5"/>
  <c r="R11" i="5"/>
  <c r="O7" i="5"/>
  <c r="P7" i="5"/>
  <c r="P12" i="5" s="1"/>
  <c r="Q7" i="5"/>
  <c r="R7" i="5"/>
  <c r="R12" i="5" s="1"/>
  <c r="N7" i="5"/>
  <c r="V14" i="4" l="1"/>
  <c r="S7" i="5"/>
  <c r="P13" i="5"/>
  <c r="N12" i="5"/>
  <c r="H12" i="5"/>
  <c r="H14" i="5" s="1"/>
  <c r="G12" i="5"/>
  <c r="G13" i="5" s="1"/>
  <c r="F12" i="5"/>
  <c r="F14" i="5" s="1"/>
  <c r="E12" i="5"/>
  <c r="D12" i="5"/>
  <c r="I11" i="5"/>
  <c r="K11" i="5" s="1"/>
  <c r="I10" i="5"/>
  <c r="J10" i="5" s="1"/>
  <c r="I9" i="5"/>
  <c r="K9" i="5" s="1"/>
  <c r="I8" i="5"/>
  <c r="I7" i="5"/>
  <c r="L7" i="5" s="1"/>
  <c r="L8" i="4"/>
  <c r="L9" i="4"/>
  <c r="L10" i="4"/>
  <c r="L11" i="4"/>
  <c r="L12" i="4"/>
  <c r="L7" i="4"/>
  <c r="E13" i="4"/>
  <c r="F13" i="4"/>
  <c r="G13" i="4"/>
  <c r="H13" i="4"/>
  <c r="I13" i="4"/>
  <c r="J13" i="4"/>
  <c r="K13" i="4"/>
  <c r="D13" i="4"/>
  <c r="K15" i="4" l="1"/>
  <c r="K17" i="4"/>
  <c r="I15" i="4"/>
  <c r="I17" i="4"/>
  <c r="G15" i="4"/>
  <c r="G17" i="4"/>
  <c r="E15" i="4"/>
  <c r="E17" i="4"/>
  <c r="N12" i="4"/>
  <c r="P12" i="4"/>
  <c r="J41" i="4" s="1"/>
  <c r="N10" i="4"/>
  <c r="P10" i="4"/>
  <c r="J39" i="4" s="1"/>
  <c r="N8" i="4"/>
  <c r="P8" i="4"/>
  <c r="J37" i="4" s="1"/>
  <c r="J8" i="5"/>
  <c r="L8" i="5"/>
  <c r="D14" i="5"/>
  <c r="D15" i="5"/>
  <c r="D14" i="4"/>
  <c r="D17" i="4"/>
  <c r="J14" i="4"/>
  <c r="J17" i="4"/>
  <c r="H14" i="4"/>
  <c r="H17" i="4"/>
  <c r="F14" i="4"/>
  <c r="F17" i="4"/>
  <c r="M7" i="4"/>
  <c r="P7" i="4"/>
  <c r="J36" i="4" s="1"/>
  <c r="N11" i="4"/>
  <c r="P11" i="4"/>
  <c r="J40" i="4" s="1"/>
  <c r="N9" i="4"/>
  <c r="P9" i="4"/>
  <c r="J38" i="4" s="1"/>
  <c r="E13" i="5"/>
  <c r="E15" i="5"/>
  <c r="L13" i="4"/>
  <c r="N7" i="4"/>
  <c r="M12" i="4"/>
  <c r="M11" i="4"/>
  <c r="M10" i="4"/>
  <c r="M9" i="4"/>
  <c r="M8" i="4"/>
  <c r="D15" i="4"/>
  <c r="J15" i="4"/>
  <c r="H15" i="4"/>
  <c r="F15" i="4"/>
  <c r="K14" i="4"/>
  <c r="I14" i="4"/>
  <c r="G14" i="4"/>
  <c r="E14" i="4"/>
  <c r="I12" i="5"/>
  <c r="J9" i="5"/>
  <c r="J7" i="5"/>
  <c r="J11" i="5"/>
  <c r="K8" i="5"/>
  <c r="K10" i="5"/>
  <c r="D13" i="5"/>
  <c r="F13" i="5"/>
  <c r="H13" i="5"/>
  <c r="E14" i="5"/>
  <c r="G14" i="5"/>
  <c r="K7" i="5"/>
  <c r="E58" i="3"/>
  <c r="N13" i="4" l="1"/>
  <c r="J21" i="4" s="1"/>
  <c r="E36" i="4" a="1"/>
  <c r="L14" i="4"/>
  <c r="G21" i="4" s="1"/>
  <c r="M13" i="4"/>
  <c r="E21" i="4" s="1"/>
  <c r="L15" i="4"/>
  <c r="L21" i="4" s="1"/>
  <c r="I13" i="5"/>
  <c r="F18" i="5" s="1"/>
  <c r="K12" i="5"/>
  <c r="I14" i="5"/>
  <c r="F20" i="5" s="1"/>
  <c r="J12" i="5"/>
  <c r="F17" i="5" s="1"/>
  <c r="P14" i="5" s="1"/>
  <c r="D14" i="3"/>
  <c r="D15" i="3"/>
  <c r="D16" i="3" s="1"/>
  <c r="G38" i="1"/>
  <c r="F23" i="4" l="1"/>
  <c r="P22" i="4" s="1"/>
  <c r="E36" i="4"/>
  <c r="E41" i="4"/>
  <c r="E37" i="4"/>
  <c r="E40" i="4"/>
  <c r="E43" i="4"/>
  <c r="E39" i="4"/>
  <c r="E42" i="4"/>
  <c r="E38" i="4"/>
  <c r="F19" i="5"/>
  <c r="F21" i="5" s="1"/>
  <c r="C23" i="3"/>
  <c r="Q44" i="3" s="1"/>
  <c r="S43" i="3" s="1"/>
  <c r="I26" i="1"/>
  <c r="I27" i="1"/>
  <c r="I28" i="1"/>
  <c r="I29" i="1"/>
  <c r="I30" i="1"/>
  <c r="I31" i="1"/>
  <c r="I32" i="1"/>
  <c r="I25" i="1"/>
  <c r="E20" i="2"/>
  <c r="F20" i="2" s="1"/>
  <c r="O6" i="1"/>
  <c r="H15" i="1"/>
  <c r="I7" i="1"/>
  <c r="I15" i="1" s="1"/>
  <c r="I8" i="1"/>
  <c r="I9" i="1"/>
  <c r="I10" i="1"/>
  <c r="I11" i="1"/>
  <c r="I12" i="1"/>
  <c r="I13" i="1"/>
  <c r="I6" i="1"/>
  <c r="G6" i="1"/>
  <c r="P6" i="1" s="1"/>
  <c r="R6" i="2"/>
  <c r="G6" i="2"/>
  <c r="H15" i="2"/>
  <c r="I8" i="2" s="1"/>
  <c r="F7" i="2"/>
  <c r="E7" i="2"/>
  <c r="E7" i="1"/>
  <c r="Q23" i="4" l="1"/>
  <c r="Q28" i="4" s="1"/>
  <c r="P23" i="4"/>
  <c r="P28" i="4" s="1"/>
  <c r="K23" i="4"/>
  <c r="Q22" i="4"/>
  <c r="Q27" i="4" s="1"/>
  <c r="I11" i="2"/>
  <c r="I13" i="2"/>
  <c r="I9" i="2"/>
  <c r="I7" i="2"/>
  <c r="F22" i="5"/>
  <c r="G24" i="5"/>
  <c r="G23" i="5"/>
  <c r="F24" i="5"/>
  <c r="F23" i="5"/>
  <c r="O27" i="4"/>
  <c r="O30" i="4" s="1" a="1"/>
  <c r="F7" i="1"/>
  <c r="E8" i="1" s="1"/>
  <c r="E8" i="2"/>
  <c r="I6" i="2"/>
  <c r="I12" i="2"/>
  <c r="I10" i="2"/>
  <c r="G7" i="2"/>
  <c r="Q6" i="2"/>
  <c r="E21" i="2"/>
  <c r="F21" i="2" s="1"/>
  <c r="I34" i="1"/>
  <c r="D43" i="4"/>
  <c r="F43" i="4" s="1"/>
  <c r="D36" i="4"/>
  <c r="D42" i="4"/>
  <c r="F42" i="4" s="1"/>
  <c r="I37" i="4"/>
  <c r="I40" i="4"/>
  <c r="D40" i="4"/>
  <c r="F40" i="4" s="1"/>
  <c r="D23" i="3"/>
  <c r="U44" i="3" s="1"/>
  <c r="C44" i="3"/>
  <c r="D39" i="4" l="1"/>
  <c r="F39" i="4" s="1"/>
  <c r="D37" i="4"/>
  <c r="F37" i="4" s="1"/>
  <c r="I41" i="4"/>
  <c r="D41" i="4"/>
  <c r="F41" i="4" s="1"/>
  <c r="D38" i="4"/>
  <c r="F38" i="4" s="1"/>
  <c r="H27" i="4"/>
  <c r="O11" i="4"/>
  <c r="K40" i="4"/>
  <c r="O12" i="4"/>
  <c r="K41" i="4"/>
  <c r="O8" i="4"/>
  <c r="K37" i="4"/>
  <c r="F36" i="4"/>
  <c r="I38" i="4"/>
  <c r="I39" i="4"/>
  <c r="I36" i="4"/>
  <c r="O30" i="4"/>
  <c r="P31" i="4"/>
  <c r="O31" i="4"/>
  <c r="P30" i="4"/>
  <c r="J20" i="5"/>
  <c r="J22" i="5"/>
  <c r="J19" i="5"/>
  <c r="J21" i="5"/>
  <c r="J18" i="5"/>
  <c r="E9" i="2"/>
  <c r="F8" i="2"/>
  <c r="E22" i="2"/>
  <c r="F22" i="2" s="1"/>
  <c r="G8" i="2"/>
  <c r="G21" i="2"/>
  <c r="G20" i="2"/>
  <c r="R7" i="2"/>
  <c r="Q7" i="2"/>
  <c r="F8" i="1"/>
  <c r="E9" i="1" s="1"/>
  <c r="N18" i="5"/>
  <c r="P18" i="5"/>
  <c r="M18" i="5"/>
  <c r="O18" i="5"/>
  <c r="Q18" i="5"/>
  <c r="G7" i="1"/>
  <c r="C24" i="3"/>
  <c r="Q45" i="3" s="1"/>
  <c r="E23" i="3"/>
  <c r="D44" i="3"/>
  <c r="E44" i="3" s="1"/>
  <c r="D24" i="3"/>
  <c r="D16" i="4" l="1" a="1"/>
  <c r="O7" i="4"/>
  <c r="K36" i="4"/>
  <c r="O9" i="4"/>
  <c r="K38" i="4"/>
  <c r="D16" i="4"/>
  <c r="K16" i="4"/>
  <c r="G16" i="4"/>
  <c r="I16" i="4"/>
  <c r="J16" i="4"/>
  <c r="F16" i="4"/>
  <c r="E16" i="4"/>
  <c r="H16" i="4"/>
  <c r="O10" i="4"/>
  <c r="K39" i="4"/>
  <c r="G8" i="1"/>
  <c r="R8" i="2"/>
  <c r="Q8" i="2"/>
  <c r="P7" i="1"/>
  <c r="O7" i="1"/>
  <c r="F9" i="1"/>
  <c r="E10" i="1" s="1"/>
  <c r="E23" i="2"/>
  <c r="F23" i="2" s="1"/>
  <c r="G22" i="2" s="1"/>
  <c r="F9" i="2"/>
  <c r="E10" i="2" s="1"/>
  <c r="G9" i="2"/>
  <c r="Q30" i="4" a="1"/>
  <c r="E24" i="3"/>
  <c r="U45" i="3"/>
  <c r="C45" i="3"/>
  <c r="E66" i="3"/>
  <c r="C25" i="3"/>
  <c r="Q46" i="3" s="1"/>
  <c r="R9" i="2" l="1"/>
  <c r="Q9" i="2"/>
  <c r="J9" i="2"/>
  <c r="J6" i="2"/>
  <c r="J7" i="2"/>
  <c r="Q30" i="4"/>
  <c r="Q31" i="4"/>
  <c r="E24" i="2"/>
  <c r="F24" i="2" s="1"/>
  <c r="F10" i="2"/>
  <c r="G9" i="1"/>
  <c r="J8" i="1"/>
  <c r="P8" i="1"/>
  <c r="O8" i="1"/>
  <c r="F10" i="1"/>
  <c r="E11" i="1" s="1"/>
  <c r="J8" i="2"/>
  <c r="D45" i="3"/>
  <c r="D25" i="3"/>
  <c r="U46" i="3" s="1"/>
  <c r="F11" i="1" l="1"/>
  <c r="E12" i="1" s="1"/>
  <c r="L8" i="1"/>
  <c r="K8" i="1"/>
  <c r="M8" i="1"/>
  <c r="P9" i="1"/>
  <c r="O9" i="1"/>
  <c r="J9" i="1"/>
  <c r="J6" i="1"/>
  <c r="J7" i="1"/>
  <c r="K6" i="2"/>
  <c r="M6" i="2"/>
  <c r="L6" i="2"/>
  <c r="K8" i="2"/>
  <c r="M8" i="2"/>
  <c r="L8" i="2"/>
  <c r="G10" i="1"/>
  <c r="G23" i="2"/>
  <c r="E11" i="2"/>
  <c r="G10" i="2"/>
  <c r="K7" i="2"/>
  <c r="M7" i="2"/>
  <c r="L7" i="2"/>
  <c r="K9" i="2"/>
  <c r="M9" i="2"/>
  <c r="L9" i="2"/>
  <c r="E45" i="3"/>
  <c r="E67" i="3"/>
  <c r="C46" i="3"/>
  <c r="C26" i="3"/>
  <c r="Q47" i="3" s="1"/>
  <c r="E25" i="3"/>
  <c r="J10" i="2" l="1"/>
  <c r="Q10" i="2"/>
  <c r="R10" i="2"/>
  <c r="M6" i="1"/>
  <c r="L6" i="1"/>
  <c r="K6" i="1"/>
  <c r="F12" i="1"/>
  <c r="E13" i="1" s="1"/>
  <c r="G12" i="1"/>
  <c r="E25" i="2"/>
  <c r="F25" i="2" s="1"/>
  <c r="G11" i="2"/>
  <c r="F11" i="2"/>
  <c r="E12" i="2" s="1"/>
  <c r="P10" i="1"/>
  <c r="O10" i="1"/>
  <c r="J10" i="1"/>
  <c r="L7" i="1"/>
  <c r="K7" i="1"/>
  <c r="M7" i="1"/>
  <c r="L9" i="1"/>
  <c r="K9" i="1"/>
  <c r="M9" i="1"/>
  <c r="G11" i="1"/>
  <c r="D46" i="3"/>
  <c r="E46" i="3" s="1"/>
  <c r="D26" i="3"/>
  <c r="U47" i="3" s="1"/>
  <c r="L10" i="1" l="1"/>
  <c r="K10" i="1"/>
  <c r="M10" i="1"/>
  <c r="R11" i="2"/>
  <c r="Q11" i="2"/>
  <c r="J11" i="2"/>
  <c r="J12" i="1"/>
  <c r="P12" i="1"/>
  <c r="O12" i="1"/>
  <c r="P11" i="1"/>
  <c r="O11" i="1"/>
  <c r="J11" i="1"/>
  <c r="E26" i="2"/>
  <c r="F26" i="2" s="1"/>
  <c r="G26" i="2" s="1"/>
  <c r="F12" i="2"/>
  <c r="E13" i="2" s="1"/>
  <c r="G12" i="2"/>
  <c r="G24" i="2"/>
  <c r="F13" i="1"/>
  <c r="E14" i="1" s="1"/>
  <c r="G13" i="1"/>
  <c r="K10" i="2"/>
  <c r="M10" i="2"/>
  <c r="L10" i="2"/>
  <c r="E68" i="3"/>
  <c r="C47" i="3"/>
  <c r="C27" i="3"/>
  <c r="Q48" i="3" s="1"/>
  <c r="E26" i="3"/>
  <c r="O13" i="1" l="1"/>
  <c r="O15" i="1" s="1"/>
  <c r="P19" i="1" s="1"/>
  <c r="J13" i="1"/>
  <c r="P13" i="1"/>
  <c r="P15" i="1" s="1"/>
  <c r="P20" i="1" s="1"/>
  <c r="J12" i="2"/>
  <c r="R12" i="2"/>
  <c r="Q12" i="2"/>
  <c r="K11" i="2"/>
  <c r="M11" i="2"/>
  <c r="L11" i="2"/>
  <c r="G25" i="2"/>
  <c r="E27" i="2"/>
  <c r="F13" i="2"/>
  <c r="E14" i="2" s="1"/>
  <c r="E28" i="2" s="1"/>
  <c r="F28" i="2" s="1"/>
  <c r="G27" i="2" s="1"/>
  <c r="L11" i="1"/>
  <c r="K11" i="1"/>
  <c r="M11" i="1"/>
  <c r="L12" i="1"/>
  <c r="K12" i="1"/>
  <c r="M12" i="1"/>
  <c r="D47" i="3"/>
  <c r="D27" i="3"/>
  <c r="K12" i="2" l="1"/>
  <c r="M12" i="2"/>
  <c r="L12" i="2"/>
  <c r="G13" i="2"/>
  <c r="L13" i="1"/>
  <c r="L15" i="1" s="1"/>
  <c r="K13" i="1"/>
  <c r="K15" i="1" s="1"/>
  <c r="E17" i="1" s="1"/>
  <c r="E19" i="1" s="1"/>
  <c r="E21" i="1" s="1"/>
  <c r="M13" i="1"/>
  <c r="M15" i="1" s="1"/>
  <c r="E27" i="3"/>
  <c r="U48" i="3"/>
  <c r="E47" i="3"/>
  <c r="E69" i="3"/>
  <c r="C48" i="3"/>
  <c r="C28" i="3"/>
  <c r="Q49" i="3" s="1"/>
  <c r="E27" i="1" l="1"/>
  <c r="F27" i="1" s="1"/>
  <c r="E29" i="1"/>
  <c r="F29" i="1" s="1"/>
  <c r="E31" i="1"/>
  <c r="F31" i="1" s="1"/>
  <c r="E33" i="1"/>
  <c r="F33" i="1" s="1"/>
  <c r="E28" i="1"/>
  <c r="F28" i="1" s="1"/>
  <c r="H28" i="1" s="1"/>
  <c r="J28" i="1" s="1"/>
  <c r="K28" i="1" s="1"/>
  <c r="E32" i="1"/>
  <c r="F32" i="1" s="1"/>
  <c r="H32" i="1" s="1"/>
  <c r="J32" i="1" s="1"/>
  <c r="E26" i="1"/>
  <c r="F26" i="1" s="1"/>
  <c r="H26" i="1" s="1"/>
  <c r="J26" i="1" s="1"/>
  <c r="K26" i="1" s="1"/>
  <c r="E30" i="1"/>
  <c r="F30" i="1" s="1"/>
  <c r="H30" i="1" s="1"/>
  <c r="J30" i="1" s="1"/>
  <c r="E25" i="1"/>
  <c r="F25" i="1" s="1"/>
  <c r="H25" i="1" s="1"/>
  <c r="J25" i="1" s="1"/>
  <c r="E18" i="1"/>
  <c r="E20" i="1" s="1"/>
  <c r="R13" i="2"/>
  <c r="R14" i="2" s="1"/>
  <c r="R15" i="2" s="1"/>
  <c r="R16" i="2" s="1"/>
  <c r="Q13" i="2"/>
  <c r="Q14" i="2" s="1"/>
  <c r="Q15" i="2" s="1"/>
  <c r="J13" i="2"/>
  <c r="D48" i="3"/>
  <c r="E48" i="3" s="1"/>
  <c r="D28" i="3"/>
  <c r="K13" i="2" l="1"/>
  <c r="K15" i="2" s="1"/>
  <c r="K17" i="2" s="1"/>
  <c r="M13" i="2"/>
  <c r="M15" i="2" s="1"/>
  <c r="L13" i="2"/>
  <c r="L15" i="2" s="1"/>
  <c r="L17" i="2" s="1"/>
  <c r="L18" i="2" s="1"/>
  <c r="H29" i="1"/>
  <c r="J29" i="1" s="1"/>
  <c r="K25" i="1"/>
  <c r="H31" i="1"/>
  <c r="J31" i="1" s="1"/>
  <c r="H27" i="1"/>
  <c r="J27" i="1" s="1"/>
  <c r="K27" i="1" s="1"/>
  <c r="C29" i="3"/>
  <c r="Q50" i="3" s="1"/>
  <c r="U49" i="3"/>
  <c r="E70" i="3"/>
  <c r="C49" i="3"/>
  <c r="D29" i="3"/>
  <c r="E28" i="3"/>
  <c r="K29" i="1" l="1"/>
  <c r="K34" i="1" s="1"/>
  <c r="G37" i="1" s="1"/>
  <c r="J34" i="1"/>
  <c r="C30" i="3"/>
  <c r="Q51" i="3" s="1"/>
  <c r="U50" i="3"/>
  <c r="D49" i="3"/>
  <c r="E29" i="3"/>
  <c r="D30" i="3" l="1"/>
  <c r="C31" i="3" s="1"/>
  <c r="E49" i="3"/>
  <c r="E71" i="3"/>
  <c r="C50" i="3"/>
  <c r="E30" i="3"/>
  <c r="U51" i="3" l="1"/>
  <c r="Q52" i="3"/>
  <c r="D31" i="3"/>
  <c r="E31" i="3" s="1"/>
  <c r="U52" i="3"/>
  <c r="S53" i="3" s="1"/>
  <c r="D50" i="3"/>
  <c r="E50" i="3" s="1"/>
  <c r="C32" i="3"/>
  <c r="F23" i="3" a="1"/>
  <c r="C51" i="3" l="1"/>
  <c r="E72" i="3"/>
  <c r="F23" i="3"/>
  <c r="F30" i="3"/>
  <c r="F26" i="3"/>
  <c r="F31" i="3"/>
  <c r="F27" i="3"/>
  <c r="F28" i="3"/>
  <c r="F24" i="3"/>
  <c r="F29" i="3"/>
  <c r="F25" i="3"/>
  <c r="F44" i="3" l="1" a="1"/>
  <c r="F44" i="3"/>
  <c r="F51" i="3"/>
  <c r="F47" i="3"/>
  <c r="F52" i="3"/>
  <c r="F48" i="3"/>
  <c r="F49" i="3"/>
  <c r="F45" i="3"/>
  <c r="F50" i="3"/>
  <c r="F46" i="3"/>
  <c r="D51" i="3"/>
  <c r="K24" i="3"/>
  <c r="I24" i="3"/>
  <c r="J24" i="3"/>
  <c r="K29" i="3"/>
  <c r="I29" i="3"/>
  <c r="J29" i="3"/>
  <c r="K28" i="3"/>
  <c r="J28" i="3"/>
  <c r="I28" i="3"/>
  <c r="J31" i="3"/>
  <c r="K31" i="3"/>
  <c r="I31" i="3"/>
  <c r="J30" i="3"/>
  <c r="K30" i="3"/>
  <c r="I30" i="3"/>
  <c r="K25" i="3"/>
  <c r="I25" i="3"/>
  <c r="J25" i="3"/>
  <c r="K27" i="3"/>
  <c r="I27" i="3"/>
  <c r="J27" i="3"/>
  <c r="K26" i="3"/>
  <c r="I26" i="3"/>
  <c r="J26" i="3"/>
  <c r="F33" i="3"/>
  <c r="G24" i="3" s="1"/>
  <c r="K23" i="3"/>
  <c r="I23" i="3"/>
  <c r="J23" i="3"/>
  <c r="J33" i="3" l="1"/>
  <c r="K33" i="3"/>
  <c r="C52" i="3"/>
  <c r="E73" i="3"/>
  <c r="C66" i="3" a="1"/>
  <c r="F54" i="3"/>
  <c r="E51" i="3"/>
  <c r="G23" i="3"/>
  <c r="G26" i="3"/>
  <c r="G27" i="3"/>
  <c r="G25" i="3"/>
  <c r="H23" i="3"/>
  <c r="O44" i="3" s="1"/>
  <c r="I33" i="3"/>
  <c r="C35" i="3" s="1"/>
  <c r="G30" i="3"/>
  <c r="G31" i="3"/>
  <c r="G28" i="3"/>
  <c r="G29" i="3"/>
  <c r="G33" i="3" l="1"/>
  <c r="H24" i="3"/>
  <c r="O45" i="3" s="1"/>
  <c r="D66" i="3"/>
  <c r="D52" i="3"/>
  <c r="E52" i="3" s="1"/>
  <c r="C66" i="3"/>
  <c r="C73" i="3"/>
  <c r="C69" i="3"/>
  <c r="C74" i="3"/>
  <c r="C70" i="3"/>
  <c r="C71" i="3"/>
  <c r="C67" i="3"/>
  <c r="C72" i="3"/>
  <c r="C68" i="3"/>
  <c r="E35" i="3"/>
  <c r="I35" i="3" l="1"/>
  <c r="K35" i="3" s="1"/>
  <c r="G35" i="3"/>
  <c r="E74" i="3"/>
  <c r="F74" i="3" s="1"/>
  <c r="G74" i="3" s="1"/>
  <c r="C53" i="3"/>
  <c r="H25" i="3"/>
  <c r="O46" i="3" s="1"/>
  <c r="D67" i="3"/>
  <c r="H39" i="3" l="1"/>
  <c r="F39" i="3"/>
  <c r="H38" i="3"/>
  <c r="F38" i="3"/>
  <c r="F37" i="3"/>
  <c r="H37" i="3"/>
  <c r="H26" i="3"/>
  <c r="O47" i="3" s="1"/>
  <c r="D68" i="3"/>
  <c r="G53" i="3"/>
  <c r="H53" i="3" s="1"/>
  <c r="G44" i="3"/>
  <c r="H44" i="3" s="1"/>
  <c r="G45" i="3"/>
  <c r="H45" i="3" s="1"/>
  <c r="G46" i="3"/>
  <c r="H46" i="3" s="1"/>
  <c r="G47" i="3"/>
  <c r="H47" i="3" s="1"/>
  <c r="G48" i="3"/>
  <c r="H48" i="3" s="1"/>
  <c r="I47" i="3" s="1"/>
  <c r="J47" i="3" s="1"/>
  <c r="K47" i="3" s="1"/>
  <c r="F70" i="3"/>
  <c r="G70" i="3" s="1"/>
  <c r="G50" i="3"/>
  <c r="H50" i="3" s="1"/>
  <c r="G51" i="3"/>
  <c r="H51" i="3" s="1"/>
  <c r="G52" i="3"/>
  <c r="H52" i="3" s="1"/>
  <c r="I51" i="3" s="1"/>
  <c r="J51" i="3" s="1"/>
  <c r="F66" i="3"/>
  <c r="G66" i="3" s="1"/>
  <c r="F67" i="3"/>
  <c r="G67" i="3" s="1"/>
  <c r="I66" i="3" s="1"/>
  <c r="F68" i="3"/>
  <c r="G68" i="3" s="1"/>
  <c r="I67" i="3" s="1"/>
  <c r="F69" i="3"/>
  <c r="G69" i="3" s="1"/>
  <c r="I68" i="3" s="1"/>
  <c r="G49" i="3"/>
  <c r="H49" i="3" s="1"/>
  <c r="F71" i="3"/>
  <c r="G71" i="3" s="1"/>
  <c r="F72" i="3"/>
  <c r="G72" i="3" s="1"/>
  <c r="F73" i="3"/>
  <c r="G73" i="3" s="1"/>
  <c r="I45" i="3" l="1"/>
  <c r="J45" i="3" s="1"/>
  <c r="I48" i="3"/>
  <c r="J48" i="3" s="1"/>
  <c r="K48" i="3" s="1"/>
  <c r="I50" i="3"/>
  <c r="J50" i="3" s="1"/>
  <c r="K50" i="3" s="1"/>
  <c r="I46" i="3"/>
  <c r="J46" i="3" s="1"/>
  <c r="K46" i="3" s="1"/>
  <c r="I44" i="3"/>
  <c r="J44" i="3" s="1"/>
  <c r="K44" i="3" s="1"/>
  <c r="I49" i="3"/>
  <c r="J49" i="3" s="1"/>
  <c r="K49" i="3" s="1"/>
  <c r="I52" i="3"/>
  <c r="J52" i="3" s="1"/>
  <c r="K51" i="3" s="1"/>
  <c r="H27" i="3"/>
  <c r="O48" i="3" s="1"/>
  <c r="D69" i="3"/>
  <c r="K54" i="3" l="1"/>
  <c r="E57" i="3" s="1"/>
  <c r="J54" i="3"/>
  <c r="I69" i="3"/>
  <c r="D70" i="3"/>
  <c r="H28" i="3"/>
  <c r="O49" i="3" s="1"/>
  <c r="H29" i="3" l="1"/>
  <c r="O50" i="3" s="1"/>
  <c r="D71" i="3"/>
  <c r="I71" i="3" s="1"/>
  <c r="H30" i="3" l="1"/>
  <c r="O51" i="3" s="1"/>
  <c r="D72" i="3"/>
  <c r="I72" i="3" s="1"/>
  <c r="H31" i="3" l="1"/>
  <c r="D73" i="3"/>
  <c r="I73" i="3" s="1"/>
  <c r="D74" i="3" l="1"/>
  <c r="I74" i="3" s="1"/>
  <c r="E77" i="3" s="1"/>
  <c r="O52" i="3"/>
</calcChain>
</file>

<file path=xl/sharedStrings.xml><?xml version="1.0" encoding="utf-8"?>
<sst xmlns="http://schemas.openxmlformats.org/spreadsheetml/2006/main" count="184" uniqueCount="90">
  <si>
    <t>i</t>
  </si>
  <si>
    <r>
      <t>(a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i-1</t>
    </r>
  </si>
  <si>
    <r>
      <t>, a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)</t>
    </r>
  </si>
  <si>
    <r>
      <t>x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</si>
  <si>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n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</si>
  <si>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n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/n</t>
    </r>
  </si>
  <si>
    <r>
      <t>u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</si>
  <si>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u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2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n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</si>
  <si>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(u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+1)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2</t>
    </r>
    <r>
      <rPr>
        <b/>
        <i/>
        <sz val="14"/>
        <color theme="1"/>
        <rFont val="Calibri"/>
        <family val="2"/>
        <charset val="204"/>
        <scheme val="minor"/>
      </rPr>
      <t>n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</si>
  <si>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t>ИТОГО</t>
  </si>
  <si>
    <r>
      <t>u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n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</si>
  <si>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t>u =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</si>
  <si>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B </t>
    </r>
    <r>
      <rPr>
        <sz val="11"/>
        <color theme="1"/>
        <rFont val="Calibri"/>
        <family val="2"/>
        <charset val="204"/>
        <scheme val="minor"/>
      </rPr>
      <t>=</t>
    </r>
  </si>
  <si>
    <r>
      <rPr>
        <sz val="11"/>
        <color theme="1"/>
        <rFont val="Symbol"/>
        <family val="1"/>
        <charset val="2"/>
      </rPr>
      <t>s</t>
    </r>
    <r>
      <rPr>
        <vertAlign val="super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(u)=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</si>
  <si>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B </t>
    </r>
    <r>
      <rPr>
        <sz val="11"/>
        <color theme="1"/>
        <rFont val="Calibri"/>
        <family val="2"/>
        <charset val="204"/>
        <scheme val="minor"/>
      </rPr>
      <t>=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</si>
  <si>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charset val="204"/>
        <scheme val="minor"/>
      </rPr>
      <t xml:space="preserve"> = </t>
    </r>
  </si>
  <si>
    <t>Для проверки</t>
  </si>
  <si>
    <r>
      <t>х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n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</si>
  <si>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х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2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n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</si>
  <si>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-</t>
    </r>
    <r>
      <rPr>
        <b/>
        <sz val="14"/>
        <color theme="1"/>
        <rFont val="Symbol"/>
        <family val="1"/>
        <charset val="2"/>
      </rPr>
      <t>l</t>
    </r>
    <r>
      <rPr>
        <b/>
        <i/>
        <sz val="14"/>
        <color theme="1"/>
        <rFont val="Calibri"/>
        <family val="2"/>
        <charset val="204"/>
        <scheme val="minor"/>
      </rPr>
      <t>a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i-1</t>
    </r>
  </si>
  <si>
    <r>
      <t>Р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</si>
  <si>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n'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 xml:space="preserve">I </t>
    </r>
    <r>
      <rPr>
        <b/>
        <i/>
        <sz val="14"/>
        <color theme="1"/>
        <rFont val="Calibri"/>
        <family val="2"/>
        <charset val="204"/>
        <scheme val="minor"/>
      </rPr>
      <t>= n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p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</si>
  <si>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(n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-n'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)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2</t>
    </r>
    <r>
      <rPr>
        <b/>
        <i/>
        <sz val="14"/>
        <color theme="1"/>
        <rFont val="Calibri"/>
        <family val="2"/>
        <charset val="204"/>
        <scheme val="minor"/>
      </rPr>
      <t>/n'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</si>
  <si>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c</t>
    </r>
    <r>
      <rPr>
        <b/>
        <vertAlign val="superscript"/>
        <sz val="14"/>
        <color theme="1"/>
        <rFont val="Symbol"/>
        <family val="1"/>
        <charset val="2"/>
      </rPr>
      <t>2</t>
    </r>
    <r>
      <rPr>
        <b/>
        <sz val="14"/>
        <color theme="1"/>
        <rFont val="Symbol"/>
        <family val="1"/>
        <charset val="2"/>
      </rPr>
      <t xml:space="preserve">  </t>
    </r>
    <r>
      <rPr>
        <b/>
        <vertAlign val="subscript"/>
        <sz val="14"/>
        <color theme="1"/>
        <rFont val="Arial"/>
        <family val="2"/>
        <charset val="204"/>
      </rPr>
      <t>набл</t>
    </r>
  </si>
  <si>
    <r>
      <t>c</t>
    </r>
    <r>
      <rPr>
        <b/>
        <vertAlign val="superscript"/>
        <sz val="14"/>
        <color theme="1"/>
        <rFont val="Symbol"/>
        <family val="1"/>
        <charset val="2"/>
      </rPr>
      <t>2</t>
    </r>
    <r>
      <rPr>
        <b/>
        <sz val="14"/>
        <color theme="1"/>
        <rFont val="Symbol"/>
        <family val="1"/>
        <charset val="2"/>
      </rPr>
      <t xml:space="preserve">  </t>
    </r>
    <r>
      <rPr>
        <b/>
        <vertAlign val="subscript"/>
        <sz val="14"/>
        <color theme="1"/>
        <rFont val="Arial"/>
        <family val="2"/>
        <charset val="204"/>
      </rPr>
      <t>кр</t>
    </r>
  </si>
  <si>
    <t>&lt;</t>
  </si>
  <si>
    <t>ИСХОДНЫЕ ДАННЫЕ</t>
  </si>
  <si>
    <t>Хmin =</t>
  </si>
  <si>
    <t>Xmax =</t>
  </si>
  <si>
    <t>h =</t>
  </si>
  <si>
    <r>
      <t>Х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</si>
  <si>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Д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</si>
  <si>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  <charset val="204"/>
      </rPr>
      <t xml:space="preserve"> =</t>
    </r>
  </si>
  <si>
    <r>
      <t>S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 xml:space="preserve"> =</t>
    </r>
  </si>
  <si>
    <t>S =</t>
  </si>
  <si>
    <r>
      <t xml:space="preserve">l  </t>
    </r>
    <r>
      <rPr>
        <b/>
        <vertAlign val="subscript"/>
        <sz val="14"/>
        <color theme="1"/>
        <rFont val="Arial"/>
        <family val="2"/>
        <charset val="204"/>
      </rPr>
      <t>набл</t>
    </r>
  </si>
  <si>
    <r>
      <t xml:space="preserve">l </t>
    </r>
    <r>
      <rPr>
        <b/>
        <vertAlign val="subscript"/>
        <sz val="14"/>
        <color theme="1"/>
        <rFont val="Arial"/>
        <family val="2"/>
        <charset val="204"/>
      </rPr>
      <t>кр</t>
    </r>
  </si>
  <si>
    <r>
      <t xml:space="preserve">l </t>
    </r>
    <r>
      <rPr>
        <b/>
        <vertAlign val="subscript"/>
        <sz val="14"/>
        <color theme="1"/>
        <rFont val="Arial"/>
        <family val="2"/>
        <charset val="204"/>
      </rPr>
      <t>набл</t>
    </r>
  </si>
  <si>
    <t>Границы интервала</t>
  </si>
  <si>
    <r>
      <t>a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i-1</t>
    </r>
  </si>
  <si>
    <r>
      <t>a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i</t>
    </r>
  </si>
  <si>
    <t>Середина</t>
  </si>
  <si>
    <r>
      <t>x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i</t>
    </r>
  </si>
  <si>
    <t>Частоты</t>
  </si>
  <si>
    <r>
      <t>n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</si>
  <si>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sz val="14"/>
        <color theme="1"/>
        <rFont val="Symbol"/>
        <family val="1"/>
        <charset val="2"/>
      </rPr>
      <t>w</t>
    </r>
    <r>
      <rPr>
        <vertAlign val="subscript"/>
        <sz val="14"/>
        <color theme="1"/>
        <rFont val="Calibri"/>
        <family val="2"/>
        <charset val="204"/>
      </rPr>
      <t>i</t>
    </r>
  </si>
  <si>
    <t>F(x)</t>
  </si>
  <si>
    <r>
      <t>(х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  <r>
      <rPr>
        <b/>
        <i/>
        <sz val="14"/>
        <color theme="1"/>
        <rFont val="Calibri"/>
        <family val="2"/>
        <charset val="204"/>
        <scheme val="minor"/>
      </rPr>
      <t>+1)</t>
    </r>
    <r>
      <rPr>
        <b/>
        <i/>
        <vertAlign val="superscript"/>
        <sz val="14"/>
        <color theme="1"/>
        <rFont val="Calibri"/>
        <family val="2"/>
        <charset val="204"/>
        <scheme val="minor"/>
      </rPr>
      <t>2</t>
    </r>
    <r>
      <rPr>
        <b/>
        <i/>
        <sz val="14"/>
        <color theme="1"/>
        <rFont val="Calibri"/>
        <family val="2"/>
        <charset val="204"/>
        <scheme val="minor"/>
      </rPr>
      <t>n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</si>
  <si>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t>F (x) =</t>
  </si>
  <si>
    <t>при</t>
  </si>
  <si>
    <t>х</t>
  </si>
  <si>
    <t>£</t>
  </si>
  <si>
    <t>&gt;</t>
  </si>
  <si>
    <t>X</t>
  </si>
  <si>
    <t>Y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</si>
  <si>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</si>
  <si>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</si>
  <si>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xm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</si>
  <si>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m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</si>
  <si>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ym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</si>
  <si>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y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m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</si>
  <si>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</si>
  <si>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</si>
  <si>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Symbol"/>
        <family val="1"/>
        <charset val="2"/>
      </rPr>
      <t xml:space="preserve"> =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</si>
  <si>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charset val="204"/>
      </rPr>
      <t>y</t>
    </r>
    <r>
      <rPr>
        <sz val="11"/>
        <color theme="1"/>
        <rFont val="Calibri"/>
        <family val="2"/>
        <charset val="204"/>
      </rPr>
      <t xml:space="preserve"> =</t>
    </r>
  </si>
  <si>
    <t>r =</t>
  </si>
  <si>
    <t>t =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</si>
  <si>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</si>
  <si>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</si>
  <si>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rPr>
        <b/>
        <sz val="10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Symbol"/>
        <family val="1"/>
        <charset val="2"/>
      </rPr>
      <t xml:space="preserve"> =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</si>
  <si>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charset val="204"/>
      </rPr>
      <t>y</t>
    </r>
    <r>
      <rPr>
        <b/>
        <sz val="11"/>
        <color theme="1"/>
        <rFont val="Calibri"/>
        <family val="2"/>
        <charset val="204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</si>
  <si>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</si>
  <si>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x </t>
    </r>
  </si>
  <si>
    <r>
      <t>x</t>
    </r>
    <r>
      <rPr>
        <vertAlign val="subscript"/>
        <sz val="10"/>
        <color theme="1"/>
        <rFont val="Calibri"/>
        <family val="2"/>
        <charset val="204"/>
        <scheme val="minor"/>
      </rPr>
      <t>y</t>
    </r>
  </si>
  <si>
    <r>
      <t>X</t>
    </r>
    <r>
      <rPr>
        <vertAlign val="subscript"/>
        <sz val="10"/>
        <color theme="1"/>
        <rFont val="Calibri"/>
        <family val="2"/>
        <charset val="204"/>
        <scheme val="minor"/>
      </rPr>
      <t xml:space="preserve">y </t>
    </r>
  </si>
  <si>
    <r>
      <t>y</t>
    </r>
    <r>
      <rPr>
        <vertAlign val="subscript"/>
        <sz val="10"/>
        <color theme="1"/>
        <rFont val="Calibri"/>
        <family val="2"/>
        <charset val="204"/>
        <scheme val="minor"/>
      </rPr>
      <t>x</t>
    </r>
  </si>
  <si>
    <r>
      <t>Y</t>
    </r>
    <r>
      <rPr>
        <vertAlign val="subscript"/>
        <sz val="10"/>
        <color theme="1"/>
        <rFont val="Calibri"/>
        <family val="2"/>
        <charset val="204"/>
        <scheme val="minor"/>
      </rPr>
      <t xml:space="preserve">x 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</si>
  <si>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</si>
  <si>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y </t>
    </r>
  </si>
  <si>
    <r>
      <t>|x</t>
    </r>
    <r>
      <rPr>
        <vertAlign val="subscript"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 xml:space="preserve"> -</t>
    </r>
    <r>
      <rPr>
        <vertAlign val="subscript"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 xml:space="preserve"> X</t>
    </r>
    <r>
      <rPr>
        <vertAlign val="subscript"/>
        <sz val="10"/>
        <color theme="1"/>
        <rFont val="Calibri"/>
        <family val="2"/>
        <charset val="204"/>
        <scheme val="minor"/>
      </rPr>
      <t>y</t>
    </r>
    <r>
      <rPr>
        <sz val="10"/>
        <color theme="1"/>
        <rFont val="Calibri"/>
        <family val="2"/>
        <charset val="204"/>
        <scheme val="minor"/>
      </rPr>
      <t>|</t>
    </r>
  </si>
  <si>
    <r>
      <t>|y</t>
    </r>
    <r>
      <rPr>
        <vertAlign val="subscript"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 xml:space="preserve"> -</t>
    </r>
    <r>
      <rPr>
        <vertAlign val="subscript"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 xml:space="preserve"> Y</t>
    </r>
    <r>
      <rPr>
        <vertAlign val="subscript"/>
        <sz val="10"/>
        <color theme="1"/>
        <rFont val="Calibri"/>
        <family val="2"/>
        <charset val="204"/>
        <scheme val="minor"/>
      </rPr>
      <t>x</t>
    </r>
    <r>
      <rPr>
        <sz val="10"/>
        <color theme="1"/>
        <rFont val="Calibri"/>
        <family val="2"/>
        <charset val="204"/>
        <scheme val="minor"/>
      </rPr>
      <t>|</t>
    </r>
  </si>
  <si>
    <t>Уравнения прямых регресий</t>
  </si>
  <si>
    <r>
      <t xml:space="preserve">åå </t>
    </r>
    <r>
      <rPr>
        <sz val="11"/>
        <color theme="1"/>
        <rFont val="Calibri"/>
        <family val="2"/>
        <charset val="204"/>
        <scheme val="minor"/>
      </rPr>
      <t>xym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=</t>
    </r>
  </si>
  <si>
    <t>Коэффициенты</t>
  </si>
  <si>
    <t>Проверка правильности</t>
  </si>
  <si>
    <t>расчёта коэффициентов</t>
  </si>
  <si>
    <r>
      <t xml:space="preserve"> p</t>
    </r>
    <r>
      <rPr>
        <b/>
        <i/>
        <vertAlign val="subscript"/>
        <sz val="14"/>
        <color theme="1"/>
        <rFont val="Calibri"/>
        <family val="2"/>
        <charset val="204"/>
        <scheme val="minor"/>
      </rPr>
      <t>i</t>
    </r>
  </si>
  <si>
    <t>&lt; a &lt;</t>
  </si>
  <si>
    <r>
      <t xml:space="preserve">&lt;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charset val="204"/>
      </rPr>
      <t xml:space="preserve"> &lt;</t>
    </r>
  </si>
  <si>
    <r>
      <t>3</t>
    </r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charset val="204"/>
        <scheme val="minor"/>
      </rPr>
      <t xml:space="preserve"> интервал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</si>
</sst>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р_._-;\-* #,##0.00_р_._-;_-* &quot;-&quot;??_р_._-;_-@_-"/>
    <numFmt numFmtId="165" formatCode="0.000"/>
    <numFmt numFmtId="166" formatCode="0.00000"/>
    <numFmt numFmtId="167" formatCode="0.0000"/>
    <numFmt numFmtId="168" formatCode="0.0"/>
  </numFmts>
  <fonts count="3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vertAlign val="subscript"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vertAlign val="superscript"/>
      <sz val="14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4"/>
      <color theme="1"/>
      <name val="Symbol"/>
      <family val="1"/>
      <charset val="2"/>
    </font>
    <font>
      <b/>
      <vertAlign val="superscript"/>
      <sz val="14"/>
      <color theme="1"/>
      <name val="Symbol"/>
      <family val="1"/>
      <charset val="2"/>
    </font>
    <font>
      <b/>
      <vertAlign val="subscript"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bscript"/>
      <sz val="11"/>
      <color theme="1"/>
      <name val="Calibri"/>
      <family val="2"/>
      <charset val="204"/>
    </font>
    <font>
      <b/>
      <vertAlign val="superscript"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vertAlign val="subscript"/>
      <sz val="11"/>
      <color theme="1"/>
      <name val="Calibri"/>
      <family val="2"/>
      <charset val="204"/>
      <scheme val="minor"/>
    </font>
    <font>
      <sz val="14"/>
      <color theme="1"/>
      <name val="Symbol"/>
      <family val="1"/>
      <charset val="2"/>
    </font>
    <font>
      <vertAlign val="subscript"/>
      <sz val="14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Symbol"/>
      <family val="1"/>
      <charset val="2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bscript"/>
      <sz val="10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Symbol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ont="0" applyFill="0" applyBorder="0" applyAlignment="0" applyProtection="0">
      <alignment vertical="top"/>
    </xf>
    <xf numFmtId="164" fontId="24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Continuous" vertical="center"/>
    </xf>
    <xf numFmtId="2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167" fontId="0" fillId="0" borderId="0" xfId="0" applyNumberFormat="1"/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6" fontId="0" fillId="0" borderId="6" xfId="0" applyNumberFormat="1" applyBorder="1"/>
    <xf numFmtId="0" fontId="0" fillId="0" borderId="6" xfId="0" applyBorder="1"/>
    <xf numFmtId="0" fontId="0" fillId="0" borderId="1" xfId="0" applyBorder="1" applyAlignment="1"/>
    <xf numFmtId="167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7" fillId="4" borderId="1" xfId="1" applyNumberFormat="1" applyFont="1" applyFill="1" applyBorder="1" applyAlignment="1" applyProtection="1">
      <alignment horizontal="center" vertical="center"/>
    </xf>
    <xf numFmtId="0" fontId="16" fillId="4" borderId="1" xfId="1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Continuous"/>
    </xf>
    <xf numFmtId="168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/>
    <xf numFmtId="0" fontId="17" fillId="4" borderId="1" xfId="1" applyNumberFormat="1" applyFont="1" applyFill="1" applyBorder="1" applyAlignment="1" applyProtection="1">
      <alignment horizontal="right" vertical="center"/>
    </xf>
    <xf numFmtId="2" fontId="1" fillId="2" borderId="1" xfId="0" applyNumberFormat="1" applyFont="1" applyFill="1" applyBorder="1" applyAlignment="1">
      <alignment horizontal="left" vertical="center"/>
    </xf>
    <xf numFmtId="167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2" fontId="0" fillId="0" borderId="0" xfId="2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2" fontId="25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168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2" fontId="27" fillId="2" borderId="1" xfId="0" applyNumberFormat="1" applyFont="1" applyFill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2" fontId="33" fillId="0" borderId="0" xfId="0" applyNumberFormat="1" applyFont="1" applyAlignment="1">
      <alignment horizontal="center"/>
    </xf>
    <xf numFmtId="0" fontId="0" fillId="0" borderId="5" xfId="0" applyBorder="1" applyAlignment="1">
      <alignment vertical="center"/>
    </xf>
    <xf numFmtId="168" fontId="0" fillId="0" borderId="5" xfId="0" applyNumberFormat="1" applyBorder="1" applyAlignment="1">
      <alignment vertical="center"/>
    </xf>
    <xf numFmtId="168" fontId="0" fillId="0" borderId="6" xfId="0" applyNumberFormat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0" borderId="1" xfId="0" applyNumberFormat="1" applyFont="1" applyBorder="1"/>
    <xf numFmtId="165" fontId="32" fillId="0" borderId="1" xfId="0" applyNumberFormat="1" applyFont="1" applyBorder="1" applyAlignment="1">
      <alignment horizontal="center"/>
    </xf>
    <xf numFmtId="0" fontId="32" fillId="5" borderId="1" xfId="0" applyFont="1" applyFill="1" applyBorder="1" applyAlignment="1">
      <alignment horizontal="center"/>
    </xf>
    <xf numFmtId="0" fontId="0" fillId="6" borderId="0" xfId="0" applyFill="1" applyAlignment="1">
      <alignment horizontal="centerContinuous" vertical="center"/>
    </xf>
    <xf numFmtId="0" fontId="0" fillId="7" borderId="0" xfId="0" applyFill="1"/>
    <xf numFmtId="0" fontId="0" fillId="7" borderId="0" xfId="0" applyFill="1" applyAlignment="1">
      <alignment horizontal="right"/>
    </xf>
    <xf numFmtId="0" fontId="8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Continuous"/>
    </xf>
    <xf numFmtId="0" fontId="0" fillId="6" borderId="12" xfId="0" applyFill="1" applyBorder="1" applyAlignment="1">
      <alignment horizontal="centerContinuous"/>
    </xf>
    <xf numFmtId="0" fontId="0" fillId="6" borderId="13" xfId="0" applyFill="1" applyBorder="1" applyAlignment="1">
      <alignment horizontal="centerContinuous"/>
    </xf>
    <xf numFmtId="0" fontId="32" fillId="2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6" borderId="14" xfId="0" applyFill="1" applyBorder="1" applyAlignment="1">
      <alignment horizontal="centerContinuous"/>
    </xf>
    <xf numFmtId="0" fontId="0" fillId="6" borderId="15" xfId="0" applyFill="1" applyBorder="1" applyAlignment="1">
      <alignment horizontal="centerContinuous"/>
    </xf>
    <xf numFmtId="0" fontId="0" fillId="6" borderId="16" xfId="0" applyFill="1" applyBorder="1" applyAlignment="1">
      <alignment horizontal="centerContinuous"/>
    </xf>
    <xf numFmtId="166" fontId="0" fillId="2" borderId="11" xfId="0" applyNumberFormat="1" applyFill="1" applyBorder="1"/>
    <xf numFmtId="0" fontId="0" fillId="2" borderId="12" xfId="0" applyFill="1" applyBorder="1"/>
    <xf numFmtId="165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165" fontId="0" fillId="2" borderId="16" xfId="0" applyNumberFormat="1" applyFill="1" applyBorder="1" applyAlignment="1">
      <alignment horizontal="center" vertical="center"/>
    </xf>
    <xf numFmtId="0" fontId="0" fillId="2" borderId="11" xfId="0" applyFill="1" applyBorder="1"/>
    <xf numFmtId="0" fontId="3" fillId="9" borderId="13" xfId="0" applyFont="1" applyFill="1" applyBorder="1" applyAlignment="1">
      <alignment horizontal="center" vertical="center"/>
    </xf>
    <xf numFmtId="1" fontId="27" fillId="9" borderId="1" xfId="0" applyNumberFormat="1" applyFont="1" applyFill="1" applyBorder="1" applyAlignment="1">
      <alignment horizontal="left" vertical="center"/>
    </xf>
    <xf numFmtId="0" fontId="3" fillId="8" borderId="16" xfId="0" applyFont="1" applyFill="1" applyBorder="1" applyAlignment="1">
      <alignment horizontal="center" vertical="center"/>
    </xf>
    <xf numFmtId="165" fontId="27" fillId="8" borderId="1" xfId="0" applyNumberFormat="1" applyFont="1" applyFill="1" applyBorder="1" applyAlignment="1">
      <alignment horizontal="left" vertical="center"/>
    </xf>
    <xf numFmtId="0" fontId="35" fillId="0" borderId="0" xfId="0" applyFont="1"/>
    <xf numFmtId="165" fontId="35" fillId="0" borderId="0" xfId="0" applyNumberFormat="1" applyFont="1"/>
    <xf numFmtId="2" fontId="35" fillId="0" borderId="0" xfId="0" applyNumberFormat="1" applyFont="1"/>
    <xf numFmtId="1" fontId="35" fillId="0" borderId="0" xfId="0" applyNumberFormat="1" applyFont="1"/>
    <xf numFmtId="0" fontId="1" fillId="0" borderId="5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" fillId="0" borderId="5" xfId="0" applyFont="1" applyFill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20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25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0" fillId="0" borderId="6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166" fontId="0" fillId="0" borderId="1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6" xfId="0" quotePrefix="1" applyNumberFormat="1" applyFont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5" fillId="0" borderId="0" xfId="0" applyFont="1" applyBorder="1" applyAlignment="1">
      <alignment horizontal="center"/>
    </xf>
  </cellXfs>
  <cellStyles count="3">
    <cellStyle name="Обычный" xfId="0" builtinId="0"/>
    <cellStyle name="Обычный_Лист1" xfId="1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19050">
              <a:solidFill>
                <a:sysClr val="windowText" lastClr="000000"/>
              </a:solidFill>
            </a:ln>
          </c:spPr>
          <c:invertIfNegative val="0"/>
          <c:cat>
            <c:numRef>
              <c:f>'ЗАДАЧА 1'!$C$23:$C$31</c:f>
              <c:numCache>
                <c:formatCode>0.00</c:formatCode>
                <c:ptCount val="9"/>
                <c:pt idx="0">
                  <c:v>0.56514913657770904</c:v>
                </c:pt>
                <c:pt idx="1">
                  <c:v>30</c:v>
                </c:pt>
                <c:pt idx="2">
                  <c:v>59.434850863422291</c:v>
                </c:pt>
                <c:pt idx="3">
                  <c:v>88.869701726844582</c:v>
                </c:pt>
                <c:pt idx="4">
                  <c:v>118.30455259026687</c:v>
                </c:pt>
                <c:pt idx="5">
                  <c:v>147.73940345368916</c:v>
                </c:pt>
                <c:pt idx="6">
                  <c:v>177.17425431711146</c:v>
                </c:pt>
                <c:pt idx="7">
                  <c:v>206.60910518053376</c:v>
                </c:pt>
                <c:pt idx="8">
                  <c:v>236.04395604395606</c:v>
                </c:pt>
              </c:numCache>
            </c:numRef>
          </c:cat>
          <c:val>
            <c:numRef>
              <c:f>'ЗАДАЧА 1'!$G$23:$G$31</c:f>
              <c:numCache>
                <c:formatCode>General</c:formatCode>
                <c:ptCount val="9"/>
                <c:pt idx="0">
                  <c:v>0.01</c:v>
                </c:pt>
                <c:pt idx="1">
                  <c:v>0.1</c:v>
                </c:pt>
                <c:pt idx="2">
                  <c:v>0.11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0.17</c:v>
                </c:pt>
                <c:pt idx="6">
                  <c:v>0.13</c:v>
                </c:pt>
                <c:pt idx="7">
                  <c:v>0.13</c:v>
                </c:pt>
                <c:pt idx="8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1-4B50-8CDC-A3FB3F60D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823232"/>
        <c:axId val="143825536"/>
      </c:barChart>
      <c:scatterChart>
        <c:scatterStyle val="lineMarker"/>
        <c:varyColors val="0"/>
        <c:ser>
          <c:idx val="1"/>
          <c:order val="1"/>
          <c:spPr>
            <a:ln>
              <a:solidFill>
                <a:sysClr val="windowText" lastClr="000000"/>
              </a:solidFill>
            </a:ln>
          </c:spPr>
          <c:marker>
            <c:spPr>
              <a:ln>
                <a:solidFill>
                  <a:sysClr val="windowText" lastClr="000000"/>
                </a:solidFill>
              </a:ln>
            </c:spPr>
          </c:marker>
          <c:yVal>
            <c:numRef>
              <c:f>'ЗАДАЧА 1'!$G$23:$G$31</c:f>
              <c:numCache>
                <c:formatCode>General</c:formatCode>
                <c:ptCount val="9"/>
                <c:pt idx="0">
                  <c:v>0.01</c:v>
                </c:pt>
                <c:pt idx="1">
                  <c:v>0.1</c:v>
                </c:pt>
                <c:pt idx="2">
                  <c:v>0.11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0.17</c:v>
                </c:pt>
                <c:pt idx="6">
                  <c:v>0.13</c:v>
                </c:pt>
                <c:pt idx="7">
                  <c:v>0.13</c:v>
                </c:pt>
                <c:pt idx="8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81-4B50-8CDC-A3FB3F60D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23232"/>
        <c:axId val="143825536"/>
      </c:scatterChart>
      <c:catAx>
        <c:axId val="143823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984142607174105"/>
              <c:y val="0.80923592884222806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143825536"/>
        <c:crosses val="autoZero"/>
        <c:auto val="1"/>
        <c:lblAlgn val="ctr"/>
        <c:lblOffset val="100"/>
        <c:noMultiLvlLbl val="0"/>
      </c:catAx>
      <c:valAx>
        <c:axId val="14382553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n</a:t>
                </a:r>
                <a:r>
                  <a:rPr lang="en-US" sz="1200" baseline="-25000"/>
                  <a:t>i</a:t>
                </a:r>
                <a:r>
                  <a:rPr lang="en-US" sz="1200"/>
                  <a:t>/n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1.6666666666666666E-2"/>
              <c:y val="4.546478565179355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3823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ysClr val="windowText" lastClr="00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'ЗАДАЧА 2'!$AD$4:$AD$9</c:f>
              <c:numCache>
                <c:formatCode>General</c:formatCode>
                <c:ptCount val="6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</c:numCache>
            </c:numRef>
          </c:xVal>
          <c:yVal>
            <c:numRef>
              <c:f>'ЗАДАЧА 2'!$AE$4:$AE$9</c:f>
              <c:numCache>
                <c:formatCode>0.000</c:formatCode>
                <c:ptCount val="6"/>
                <c:pt idx="0">
                  <c:v>0.50594610427650788</c:v>
                </c:pt>
                <c:pt idx="1">
                  <c:v>0.58401679359500069</c:v>
                </c:pt>
                <c:pt idx="2">
                  <c:v>0.66208748291349329</c:v>
                </c:pt>
                <c:pt idx="3">
                  <c:v>0.7401581722319861</c:v>
                </c:pt>
                <c:pt idx="4">
                  <c:v>0.81822886155047869</c:v>
                </c:pt>
                <c:pt idx="5">
                  <c:v>0.89629955086897151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DD3-43BA-ABF8-6770271A0E35}"/>
            </c:ext>
          </c:extLst>
        </c:ser>
        <c:ser>
          <c:idx val="2"/>
          <c:order val="2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'ЗАДАЧА 2'!$AD$11:$AD$18</c:f>
              <c:numCache>
                <c:formatCode>0.00</c:formatCode>
                <c:ptCount val="8"/>
                <c:pt idx="0">
                  <c:v>227.69553910782346</c:v>
                </c:pt>
                <c:pt idx="1">
                  <c:v>307.67153430686284</c:v>
                </c:pt>
                <c:pt idx="2">
                  <c:v>387.64752950590213</c:v>
                </c:pt>
                <c:pt idx="3">
                  <c:v>467.62352470494142</c:v>
                </c:pt>
                <c:pt idx="4">
                  <c:v>547.59951990398076</c:v>
                </c:pt>
                <c:pt idx="5">
                  <c:v>627.57551510302017</c:v>
                </c:pt>
                <c:pt idx="6">
                  <c:v>707.55151030205946</c:v>
                </c:pt>
                <c:pt idx="7">
                  <c:v>787.52750550109874</c:v>
                </c:pt>
              </c:numCache>
            </c:numRef>
          </c:xVal>
          <c:yVal>
            <c:numRef>
              <c:f>'ЗАДАЧА 2'!$AE$11:$AE$18</c:f>
              <c:numCache>
                <c:formatCode>General</c:formatCode>
                <c:ptCount val="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DD3-43BA-ABF8-6770271A0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225583"/>
        <c:axId val="1027220175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2'!$AA$4:$AA$20</c:f>
              <c:numCache>
                <c:formatCode>General</c:formatCode>
                <c:ptCount val="17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700</c:v>
                </c:pt>
                <c:pt idx="13">
                  <c:v>700</c:v>
                </c:pt>
                <c:pt idx="14">
                  <c:v>700</c:v>
                </c:pt>
                <c:pt idx="15">
                  <c:v>800</c:v>
                </c:pt>
                <c:pt idx="16">
                  <c:v>800</c:v>
                </c:pt>
              </c:numCache>
            </c:numRef>
          </c:xVal>
          <c:yVal>
            <c:numRef>
              <c:f>'ЗАДАЧА 2'!$AB$4:$AB$20</c:f>
              <c:numCache>
                <c:formatCode>General</c:formatCode>
                <c:ptCount val="17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0.7</c:v>
                </c:pt>
                <c:pt idx="13">
                  <c:v>0.8</c:v>
                </c:pt>
                <c:pt idx="14">
                  <c:v>0.9</c:v>
                </c:pt>
                <c:pt idx="15">
                  <c:v>0.9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3-43BA-ABF8-6770271A0E3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'ЗАДАЧА 2'!$AD$20</c:f>
              <c:numCache>
                <c:formatCode>0</c:formatCode>
                <c:ptCount val="1"/>
                <c:pt idx="0">
                  <c:v>546</c:v>
                </c:pt>
              </c:numCache>
            </c:numRef>
          </c:xVal>
          <c:yVal>
            <c:numRef>
              <c:f>'ЗАДАЧА 2'!$AE$20</c:f>
              <c:numCache>
                <c:formatCode>0.000</c:formatCode>
                <c:ptCount val="1"/>
                <c:pt idx="0">
                  <c:v>0.69799999999999995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DD3-43BA-ABF8-6770271A0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225583"/>
        <c:axId val="1027220175"/>
      </c:scatterChart>
      <c:valAx>
        <c:axId val="1027225583"/>
        <c:scaling>
          <c:orientation val="minMax"/>
          <c:min val="2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5561679790026244"/>
              <c:y val="0.753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220175"/>
        <c:crosses val="autoZero"/>
        <c:crossBetween val="midCat"/>
        <c:majorUnit val="300"/>
      </c:valAx>
      <c:valAx>
        <c:axId val="1027220175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5000000000000001E-2"/>
              <c:y val="2.63695683872849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22558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noFill/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'ЗАДАЧА 3'!$I$6:$I$13</c:f>
              <c:numCache>
                <c:formatCode>General</c:formatCode>
                <c:ptCount val="8"/>
                <c:pt idx="0">
                  <c:v>0.41</c:v>
                </c:pt>
                <c:pt idx="1">
                  <c:v>0.3</c:v>
                </c:pt>
                <c:pt idx="2">
                  <c:v>0.12</c:v>
                </c:pt>
                <c:pt idx="3">
                  <c:v>7.0000000000000007E-2</c:v>
                </c:pt>
                <c:pt idx="4">
                  <c:v>0.04</c:v>
                </c:pt>
                <c:pt idx="5">
                  <c:v>0.03</c:v>
                </c:pt>
                <c:pt idx="6">
                  <c:v>0.02</c:v>
                </c:pt>
                <c:pt idx="7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4-452D-BE56-381E82505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180736"/>
        <c:axId val="144182656"/>
      </c:barChart>
      <c:scatterChart>
        <c:scatterStyle val="lineMarker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yVal>
            <c:numRef>
              <c:f>'ЗАДАЧА 3'!$I$6:$I$13</c:f>
              <c:numCache>
                <c:formatCode>General</c:formatCode>
                <c:ptCount val="8"/>
                <c:pt idx="0">
                  <c:v>0.41</c:v>
                </c:pt>
                <c:pt idx="1">
                  <c:v>0.3</c:v>
                </c:pt>
                <c:pt idx="2">
                  <c:v>0.12</c:v>
                </c:pt>
                <c:pt idx="3">
                  <c:v>7.0000000000000007E-2</c:v>
                </c:pt>
                <c:pt idx="4">
                  <c:v>0.04</c:v>
                </c:pt>
                <c:pt idx="5">
                  <c:v>0.03</c:v>
                </c:pt>
                <c:pt idx="6">
                  <c:v>0.02</c:v>
                </c:pt>
                <c:pt idx="7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74-452D-BE56-381E82505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80736"/>
        <c:axId val="144182656"/>
      </c:scatterChart>
      <c:catAx>
        <c:axId val="14418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3873031496062997"/>
              <c:y val="0.81849518810148736"/>
            </c:manualLayout>
          </c:layout>
          <c:overlay val="0"/>
        </c:title>
        <c:majorTickMark val="out"/>
        <c:minorTickMark val="none"/>
        <c:tickLblPos val="nextTo"/>
        <c:crossAx val="144182656"/>
        <c:crosses val="autoZero"/>
        <c:auto val="1"/>
        <c:lblAlgn val="ctr"/>
        <c:lblOffset val="100"/>
        <c:noMultiLvlLbl val="0"/>
      </c:catAx>
      <c:valAx>
        <c:axId val="14418265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-25000"/>
                  <a:t>i</a:t>
                </a:r>
                <a:r>
                  <a:rPr lang="en-US"/>
                  <a:t>/n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9444444444444445E-2"/>
              <c:y val="1.768700787401577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180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139944</xdr:colOff>
      <xdr:row>18</xdr:row>
      <xdr:rowOff>47259</xdr:rowOff>
    </xdr:from>
    <xdr:to>
      <xdr:col>20</xdr:col>
      <xdr:colOff>301136</xdr:colOff>
      <xdr:row>33</xdr:row>
      <xdr:rowOff>42496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</xdr:colOff>
      <xdr:row>42</xdr:row>
      <xdr:rowOff>9525</xdr:rowOff>
    </xdr:from>
    <xdr:to>
      <xdr:col>14</xdr:col>
      <xdr:colOff>190500</xdr:colOff>
      <xdr:row>52</xdr:row>
      <xdr:rowOff>180975</xdr:rowOff>
    </xdr:to>
    <xdr:sp macro="" textlink="">
      <xdr:nvSpPr>
        <xdr:cNvPr id="3" name="Левая фигурная скобка 2"/>
        <xdr:cNvSpPr/>
      </xdr:nvSpPr>
      <xdr:spPr>
        <a:xfrm>
          <a:off x="8943975" y="7229475"/>
          <a:ext cx="133350" cy="2076450"/>
        </a:xfrm>
        <a:prstGeom prst="lef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137160</xdr:colOff>
          <xdr:row>40</xdr:row>
          <xdr:rowOff>7620</xdr:rowOff>
        </xdr:from>
        <xdr:to>
          <xdr:col>6</xdr:col>
          <xdr:colOff>533400</xdr:colOff>
          <xdr:row>41</xdr:row>
          <xdr:rowOff>182880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40</xdr:row>
          <xdr:rowOff>0</xdr:rowOff>
        </xdr:from>
        <xdr:to>
          <xdr:col>7</xdr:col>
          <xdr:colOff>586740</xdr:colOff>
          <xdr:row>42</xdr:row>
          <xdr:rowOff>15240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213360</xdr:colOff>
          <xdr:row>40</xdr:row>
          <xdr:rowOff>60960</xdr:rowOff>
        </xdr:from>
        <xdr:to>
          <xdr:col>9</xdr:col>
          <xdr:colOff>655320</xdr:colOff>
          <xdr:row>41</xdr:row>
          <xdr:rowOff>91440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114300</xdr:colOff>
          <xdr:row>40</xdr:row>
          <xdr:rowOff>15240</xdr:rowOff>
        </xdr:from>
        <xdr:to>
          <xdr:col>10</xdr:col>
          <xdr:colOff>662940</xdr:colOff>
          <xdr:row>42</xdr:row>
          <xdr:rowOff>7620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114300</xdr:colOff>
          <xdr:row>62</xdr:row>
          <xdr:rowOff>15240</xdr:rowOff>
        </xdr:from>
        <xdr:to>
          <xdr:col>5</xdr:col>
          <xdr:colOff>533400</xdr:colOff>
          <xdr:row>63</xdr:row>
          <xdr:rowOff>190500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15240</xdr:colOff>
          <xdr:row>61</xdr:row>
          <xdr:rowOff>190500</xdr:rowOff>
        </xdr:from>
        <xdr:to>
          <xdr:col>6</xdr:col>
          <xdr:colOff>586740</xdr:colOff>
          <xdr:row>63</xdr:row>
          <xdr:rowOff>190500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62</xdr:row>
          <xdr:rowOff>91440</xdr:rowOff>
        </xdr:from>
        <xdr:to>
          <xdr:col>7</xdr:col>
          <xdr:colOff>487680</xdr:colOff>
          <xdr:row>63</xdr:row>
          <xdr:rowOff>91440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259080</xdr:colOff>
          <xdr:row>62</xdr:row>
          <xdr:rowOff>68580</xdr:rowOff>
        </xdr:from>
        <xdr:to>
          <xdr:col>9</xdr:col>
          <xdr:colOff>579120</xdr:colOff>
          <xdr:row>63</xdr:row>
          <xdr:rowOff>121920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177800</xdr:colOff>
      <xdr:row>32</xdr:row>
      <xdr:rowOff>26035</xdr:rowOff>
    </xdr:from>
    <xdr:to>
      <xdr:col>19</xdr:col>
      <xdr:colOff>393700</xdr:colOff>
      <xdr:row>47</xdr:row>
      <xdr:rowOff>635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3</xdr:row>
      <xdr:rowOff>175260</xdr:rowOff>
    </xdr:from>
    <xdr:to>
      <xdr:col>9</xdr:col>
      <xdr:colOff>957488</xdr:colOff>
      <xdr:row>3</xdr:row>
      <xdr:rowOff>434340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723900"/>
          <a:ext cx="843188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342900</xdr:colOff>
          <xdr:row>23</xdr:row>
          <xdr:rowOff>45720</xdr:rowOff>
        </xdr:from>
        <xdr:to>
          <xdr:col>6</xdr:col>
          <xdr:colOff>297180</xdr:colOff>
          <xdr:row>23</xdr:row>
          <xdr:rowOff>373380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294409</xdr:colOff>
      <xdr:row>20</xdr:row>
      <xdr:rowOff>122093</xdr:rowOff>
    </xdr:from>
    <xdr:to>
      <xdr:col>18</xdr:col>
      <xdr:colOff>562841</xdr:colOff>
      <xdr:row>34</xdr:row>
      <xdr:rowOff>34637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6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6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8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5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7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7.wmf"/><Relationship Id="rId4" Type="http://schemas.openxmlformats.org/officeDocument/2006/relationships/oleObject" Target="../embeddings/oleObject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U80"/>
  <sheetViews>
    <sheetView tabSelected="1" topLeftCell="A16" zoomScaleNormal="100" workbookViewId="0">
      <selection activeCell="O37" sqref="O37"/>
    </sheetView>
  </sheetViews>
  <sheetFormatPr defaultRowHeight="14.4" x14ac:dyDescent="0.3"/>
  <cols>
    <col min="10" max="10" width="12.5546875" customWidth="1"/>
    <col min="11" max="11" width="11.5546875" customWidth="1"/>
    <col min="12" max="12" width="10.5546875" bestFit="1" customWidth="1"/>
    <col min="17" max="17" width="5.44140625" customWidth="1"/>
    <col min="18" max="18" width="5.88671875" customWidth="1"/>
    <col min="19" max="19" width="5.33203125" customWidth="1"/>
    <col min="20" max="20" width="7" customWidth="1"/>
    <col min="21" max="21" width="6.44140625" customWidth="1"/>
  </cols>
  <sheetData>
    <row r="2" spans="2:11" ht="22.5" customHeight="1" x14ac:dyDescent="0.3">
      <c r="B2" s="154" t="s">
        <v>26</v>
      </c>
      <c r="C2" s="154"/>
      <c r="D2" s="154"/>
      <c r="E2" s="154"/>
      <c r="F2" s="154"/>
      <c r="G2" s="154"/>
      <c r="H2" s="154"/>
      <c r="I2" s="154"/>
      <c r="J2" s="154"/>
      <c r="K2" s="154"/>
    </row>
    <row r="3" spans="2:11" x14ac:dyDescent="0.3">
      <c r="B3" s="52">
        <v>81</v>
      </c>
      <c r="C3" s="52">
        <v>106</v>
      </c>
      <c r="D3" s="52">
        <v>135</v>
      </c>
      <c r="E3" s="52">
        <v>170</v>
      </c>
      <c r="F3" s="52">
        <v>206</v>
      </c>
      <c r="G3" s="52">
        <v>60</v>
      </c>
      <c r="H3" s="52">
        <v>181</v>
      </c>
      <c r="I3" s="52">
        <v>178</v>
      </c>
      <c r="J3" s="52">
        <v>154</v>
      </c>
      <c r="K3" s="52">
        <v>103</v>
      </c>
    </row>
    <row r="4" spans="2:11" x14ac:dyDescent="0.3">
      <c r="B4" s="52">
        <v>78</v>
      </c>
      <c r="C4" s="52">
        <v>176</v>
      </c>
      <c r="D4" s="52">
        <v>31</v>
      </c>
      <c r="E4" s="52">
        <v>204</v>
      </c>
      <c r="F4" s="52">
        <v>145</v>
      </c>
      <c r="G4" s="52">
        <v>85</v>
      </c>
      <c r="H4" s="52">
        <v>229</v>
      </c>
      <c r="I4" s="52">
        <v>47</v>
      </c>
      <c r="J4" s="52">
        <v>108</v>
      </c>
      <c r="K4" s="52">
        <v>234</v>
      </c>
    </row>
    <row r="5" spans="2:11" x14ac:dyDescent="0.3">
      <c r="B5" s="52">
        <v>110</v>
      </c>
      <c r="C5" s="52">
        <v>207</v>
      </c>
      <c r="D5" s="52">
        <v>241</v>
      </c>
      <c r="E5" s="52">
        <v>168</v>
      </c>
      <c r="F5" s="52">
        <v>133</v>
      </c>
      <c r="G5" s="52">
        <v>68</v>
      </c>
      <c r="H5" s="52">
        <v>174</v>
      </c>
      <c r="I5" s="52">
        <v>143</v>
      </c>
      <c r="J5" s="52">
        <v>89</v>
      </c>
      <c r="K5" s="52">
        <v>182</v>
      </c>
    </row>
    <row r="6" spans="2:11" x14ac:dyDescent="0.3">
      <c r="B6" s="52">
        <v>203</v>
      </c>
      <c r="C6" s="52">
        <v>153</v>
      </c>
      <c r="D6" s="52">
        <v>172</v>
      </c>
      <c r="E6" s="52">
        <v>93</v>
      </c>
      <c r="F6" s="52">
        <v>48</v>
      </c>
      <c r="G6" s="52">
        <v>228</v>
      </c>
      <c r="H6" s="52">
        <v>255</v>
      </c>
      <c r="I6" s="52">
        <v>134</v>
      </c>
      <c r="J6" s="52">
        <v>112</v>
      </c>
      <c r="K6" s="52">
        <v>58</v>
      </c>
    </row>
    <row r="7" spans="2:11" x14ac:dyDescent="0.3">
      <c r="B7" s="52">
        <v>144</v>
      </c>
      <c r="C7" s="52">
        <v>235</v>
      </c>
      <c r="D7" s="52">
        <v>114</v>
      </c>
      <c r="E7" s="52">
        <v>77</v>
      </c>
      <c r="F7" s="52">
        <v>208</v>
      </c>
      <c r="G7" s="52">
        <v>183</v>
      </c>
      <c r="H7" s="52">
        <v>59</v>
      </c>
      <c r="I7" s="52">
        <v>170</v>
      </c>
      <c r="J7" s="52">
        <v>95</v>
      </c>
      <c r="K7" s="52">
        <v>154</v>
      </c>
    </row>
    <row r="8" spans="2:11" x14ac:dyDescent="0.3">
      <c r="B8" s="52">
        <v>104</v>
      </c>
      <c r="C8" s="52">
        <v>202</v>
      </c>
      <c r="D8" s="52">
        <v>39</v>
      </c>
      <c r="E8" s="52">
        <v>164</v>
      </c>
      <c r="F8" s="52">
        <v>247</v>
      </c>
      <c r="G8" s="52">
        <v>226</v>
      </c>
      <c r="H8" s="52">
        <v>100</v>
      </c>
      <c r="I8" s="52">
        <v>67</v>
      </c>
      <c r="J8" s="52">
        <v>121</v>
      </c>
      <c r="K8" s="52">
        <v>193</v>
      </c>
    </row>
    <row r="9" spans="2:11" x14ac:dyDescent="0.3">
      <c r="B9" s="52">
        <v>123</v>
      </c>
      <c r="C9" s="52">
        <v>91</v>
      </c>
      <c r="D9" s="52">
        <v>164</v>
      </c>
      <c r="E9" s="52">
        <v>57</v>
      </c>
      <c r="F9" s="52">
        <v>209</v>
      </c>
      <c r="G9" s="52">
        <v>30</v>
      </c>
      <c r="H9" s="52">
        <v>185</v>
      </c>
      <c r="I9" s="52">
        <v>162</v>
      </c>
      <c r="J9" s="52">
        <v>250</v>
      </c>
      <c r="K9" s="52">
        <v>225</v>
      </c>
    </row>
    <row r="10" spans="2:11" x14ac:dyDescent="0.3">
      <c r="B10" s="52">
        <v>201</v>
      </c>
      <c r="C10" s="52">
        <v>160</v>
      </c>
      <c r="D10" s="52">
        <v>239</v>
      </c>
      <c r="E10" s="52">
        <v>211</v>
      </c>
      <c r="F10" s="52">
        <v>131</v>
      </c>
      <c r="G10" s="52">
        <v>142</v>
      </c>
      <c r="H10" s="52">
        <v>101</v>
      </c>
      <c r="I10" s="52">
        <v>153</v>
      </c>
      <c r="J10" s="52">
        <v>76</v>
      </c>
      <c r="K10" s="52">
        <v>125</v>
      </c>
    </row>
    <row r="11" spans="2:11" x14ac:dyDescent="0.3">
      <c r="B11" s="52">
        <v>137</v>
      </c>
      <c r="C11" s="52">
        <v>54</v>
      </c>
      <c r="D11" s="52">
        <v>127</v>
      </c>
      <c r="E11" s="52">
        <v>87</v>
      </c>
      <c r="F11" s="52">
        <v>66</v>
      </c>
      <c r="G11" s="52">
        <v>190</v>
      </c>
      <c r="H11" s="52">
        <v>158</v>
      </c>
      <c r="I11" s="52">
        <v>241</v>
      </c>
      <c r="J11" s="52">
        <v>33</v>
      </c>
      <c r="K11" s="52">
        <v>221</v>
      </c>
    </row>
    <row r="12" spans="2:11" x14ac:dyDescent="0.3">
      <c r="B12" s="52">
        <v>100</v>
      </c>
      <c r="C12" s="52">
        <v>195</v>
      </c>
      <c r="D12" s="52">
        <v>156</v>
      </c>
      <c r="E12" s="52">
        <v>146</v>
      </c>
      <c r="F12" s="52">
        <v>231</v>
      </c>
      <c r="G12" s="52">
        <v>220</v>
      </c>
      <c r="H12" s="52">
        <v>129</v>
      </c>
      <c r="I12" s="52">
        <v>83</v>
      </c>
      <c r="J12" s="52">
        <v>151</v>
      </c>
      <c r="K12" s="52">
        <v>56</v>
      </c>
    </row>
    <row r="14" spans="2:11" x14ac:dyDescent="0.3">
      <c r="C14" s="51" t="s">
        <v>27</v>
      </c>
      <c r="D14" s="31">
        <f>MIN(B3:K12)</f>
        <v>30</v>
      </c>
    </row>
    <row r="15" spans="2:11" x14ac:dyDescent="0.3">
      <c r="C15" s="51" t="s">
        <v>28</v>
      </c>
      <c r="D15" s="31">
        <f>MAX(B3:K12)</f>
        <v>255</v>
      </c>
    </row>
    <row r="16" spans="2:11" x14ac:dyDescent="0.3">
      <c r="C16" s="51" t="s">
        <v>29</v>
      </c>
      <c r="D16" s="60">
        <f>(D15-D14)/(1+3.322*LOG10(100))</f>
        <v>29.434850863422291</v>
      </c>
    </row>
    <row r="20" spans="2:17" ht="15" customHeight="1" x14ac:dyDescent="0.3">
      <c r="B20" s="146" t="s">
        <v>0</v>
      </c>
      <c r="C20" s="147" t="s">
        <v>38</v>
      </c>
      <c r="D20" s="148"/>
      <c r="E20" s="74" t="s">
        <v>41</v>
      </c>
      <c r="F20" s="74" t="s">
        <v>43</v>
      </c>
      <c r="G20" s="146" t="s">
        <v>45</v>
      </c>
      <c r="H20" s="149" t="s">
        <v>46</v>
      </c>
      <c r="I20" s="146" t="s">
        <v>17</v>
      </c>
      <c r="J20" s="146" t="s">
        <v>18</v>
      </c>
      <c r="K20" s="146" t="s">
        <v>47</v>
      </c>
    </row>
    <row r="21" spans="2:17" ht="18" customHeight="1" x14ac:dyDescent="0.3">
      <c r="B21" s="146"/>
      <c r="C21" s="72" t="s">
        <v>39</v>
      </c>
      <c r="D21" s="73" t="s">
        <v>40</v>
      </c>
      <c r="E21" s="75" t="s">
        <v>42</v>
      </c>
      <c r="F21" s="75" t="s">
        <v>44</v>
      </c>
      <c r="G21" s="146"/>
      <c r="H21" s="149"/>
      <c r="I21" s="146"/>
      <c r="J21" s="146"/>
      <c r="K21" s="146"/>
      <c r="Q21" s="61"/>
    </row>
    <row r="22" spans="2:17" x14ac:dyDescent="0.3">
      <c r="B22" s="18">
        <v>1</v>
      </c>
      <c r="C22" s="157">
        <v>2</v>
      </c>
      <c r="D22" s="158"/>
      <c r="E22" s="18">
        <v>3</v>
      </c>
      <c r="F22" s="18">
        <v>4</v>
      </c>
      <c r="G22" s="18">
        <v>5</v>
      </c>
      <c r="H22" s="18">
        <v>6</v>
      </c>
      <c r="I22" s="58">
        <v>7</v>
      </c>
      <c r="J22" s="58">
        <v>8</v>
      </c>
      <c r="K22" s="58">
        <v>9</v>
      </c>
      <c r="Q22" s="61"/>
    </row>
    <row r="23" spans="2:17" x14ac:dyDescent="0.3">
      <c r="B23" s="13">
        <v>1</v>
      </c>
      <c r="C23" s="59">
        <f>D14-D16</f>
        <v>0.56514913657770904</v>
      </c>
      <c r="D23" s="59">
        <f t="shared" ref="D23:D31" si="0">C23+$D$16</f>
        <v>30</v>
      </c>
      <c r="E23" s="56">
        <f>(C23+D23)/2</f>
        <v>15.282574568288855</v>
      </c>
      <c r="F23" s="65">
        <f t="array" ref="F23:F31">FREQUENCY(B3:K12,D23:D31)</f>
        <v>1</v>
      </c>
      <c r="G23" s="46">
        <f t="shared" ref="G23:G31" si="1">F23/$F$33</f>
        <v>0.01</v>
      </c>
      <c r="H23" s="56">
        <f>G23</f>
        <v>0.01</v>
      </c>
      <c r="I23" s="56">
        <f>E23*F23</f>
        <v>15.282574568288855</v>
      </c>
      <c r="J23" s="59">
        <f>E23*E23*F23</f>
        <v>233.55708543530926</v>
      </c>
      <c r="K23" s="56">
        <f>(E23+1)^2*F23</f>
        <v>265.12223457188696</v>
      </c>
      <c r="Q23" s="61"/>
    </row>
    <row r="24" spans="2:17" x14ac:dyDescent="0.3">
      <c r="B24" s="13">
        <v>2</v>
      </c>
      <c r="C24" s="59">
        <f>D23</f>
        <v>30</v>
      </c>
      <c r="D24" s="59">
        <f t="shared" si="0"/>
        <v>59.434850863422291</v>
      </c>
      <c r="E24" s="56">
        <f t="shared" ref="E24:E31" si="2">(C24+D24)/2</f>
        <v>44.717425431711149</v>
      </c>
      <c r="F24" s="65">
        <v>10</v>
      </c>
      <c r="G24" s="46">
        <f t="shared" si="1"/>
        <v>0.1</v>
      </c>
      <c r="H24" s="56">
        <f>G24+H23</f>
        <v>0.11</v>
      </c>
      <c r="I24" s="56">
        <f t="shared" ref="I24:I31" si="3">E24*F24</f>
        <v>447.17425431711149</v>
      </c>
      <c r="J24" s="59">
        <f t="shared" ref="J24:J30" si="4">E24*E24*F24</f>
        <v>19996.48137240647</v>
      </c>
      <c r="K24" s="56">
        <f t="shared" ref="K24:K30" si="5">(E24+1)^2*F24</f>
        <v>20900.829881040696</v>
      </c>
      <c r="Q24" s="61"/>
    </row>
    <row r="25" spans="2:17" x14ac:dyDescent="0.3">
      <c r="B25" s="13">
        <v>3</v>
      </c>
      <c r="C25" s="59">
        <f t="shared" ref="C25:C30" si="6">D24</f>
        <v>59.434850863422291</v>
      </c>
      <c r="D25" s="59">
        <f t="shared" si="0"/>
        <v>88.869701726844582</v>
      </c>
      <c r="E25" s="56">
        <f t="shared" si="2"/>
        <v>74.152276295133433</v>
      </c>
      <c r="F25" s="65">
        <v>11</v>
      </c>
      <c r="G25" s="46">
        <f t="shared" si="1"/>
        <v>0.11</v>
      </c>
      <c r="H25" s="56">
        <f t="shared" ref="H25:H31" si="7">G25+H24</f>
        <v>0.22</v>
      </c>
      <c r="I25" s="56">
        <f t="shared" si="3"/>
        <v>815.6750392464678</v>
      </c>
      <c r="J25" s="59">
        <f t="shared" si="4"/>
        <v>60484.160877247879</v>
      </c>
      <c r="K25" s="56">
        <f t="shared" si="5"/>
        <v>62126.510955740821</v>
      </c>
      <c r="Q25" s="61"/>
    </row>
    <row r="26" spans="2:17" x14ac:dyDescent="0.3">
      <c r="B26" s="13">
        <v>4</v>
      </c>
      <c r="C26" s="59">
        <f t="shared" si="6"/>
        <v>88.869701726844582</v>
      </c>
      <c r="D26" s="59">
        <f t="shared" si="0"/>
        <v>118.30455259026687</v>
      </c>
      <c r="E26" s="56">
        <f t="shared" si="2"/>
        <v>103.58712715855572</v>
      </c>
      <c r="F26" s="65">
        <v>14</v>
      </c>
      <c r="G26" s="46">
        <f t="shared" si="1"/>
        <v>0.14000000000000001</v>
      </c>
      <c r="H26" s="56">
        <f t="shared" si="7"/>
        <v>0.36</v>
      </c>
      <c r="I26" s="56">
        <f t="shared" si="3"/>
        <v>1450.21978021978</v>
      </c>
      <c r="J26" s="59">
        <f t="shared" si="4"/>
        <v>150224.10078147909</v>
      </c>
      <c r="K26" s="56">
        <f t="shared" si="5"/>
        <v>153138.54034191865</v>
      </c>
      <c r="Q26" s="61"/>
    </row>
    <row r="27" spans="2:17" x14ac:dyDescent="0.3">
      <c r="B27" s="13">
        <v>5</v>
      </c>
      <c r="C27" s="59">
        <f t="shared" si="6"/>
        <v>118.30455259026687</v>
      </c>
      <c r="D27" s="59">
        <f t="shared" si="0"/>
        <v>147.73940345368916</v>
      </c>
      <c r="E27" s="56">
        <f t="shared" si="2"/>
        <v>133.02197802197801</v>
      </c>
      <c r="F27" s="65">
        <v>15</v>
      </c>
      <c r="G27" s="46">
        <f t="shared" si="1"/>
        <v>0.15</v>
      </c>
      <c r="H27" s="56">
        <f t="shared" si="7"/>
        <v>0.51</v>
      </c>
      <c r="I27" s="56">
        <f t="shared" si="3"/>
        <v>1995.3296703296703</v>
      </c>
      <c r="J27" s="59">
        <f t="shared" si="4"/>
        <v>265422.69955319405</v>
      </c>
      <c r="K27" s="56">
        <f t="shared" si="5"/>
        <v>269428.35889385338</v>
      </c>
      <c r="Q27" s="61"/>
    </row>
    <row r="28" spans="2:17" x14ac:dyDescent="0.3">
      <c r="B28" s="13">
        <v>6</v>
      </c>
      <c r="C28" s="59">
        <f t="shared" si="6"/>
        <v>147.73940345368916</v>
      </c>
      <c r="D28" s="59">
        <f t="shared" si="0"/>
        <v>177.17425431711146</v>
      </c>
      <c r="E28" s="56">
        <f t="shared" si="2"/>
        <v>162.45682888540031</v>
      </c>
      <c r="F28" s="65">
        <v>17</v>
      </c>
      <c r="G28" s="46">
        <f t="shared" si="1"/>
        <v>0.17</v>
      </c>
      <c r="H28" s="56">
        <f t="shared" si="7"/>
        <v>0.68</v>
      </c>
      <c r="I28" s="56">
        <f t="shared" si="3"/>
        <v>2761.7660910518052</v>
      </c>
      <c r="J28" s="59">
        <f t="shared" si="4"/>
        <v>448667.76127550402</v>
      </c>
      <c r="K28" s="56">
        <f t="shared" si="5"/>
        <v>454208.29345760762</v>
      </c>
      <c r="Q28" s="61"/>
    </row>
    <row r="29" spans="2:17" x14ac:dyDescent="0.3">
      <c r="B29" s="13">
        <v>7</v>
      </c>
      <c r="C29" s="59">
        <f t="shared" si="6"/>
        <v>177.17425431711146</v>
      </c>
      <c r="D29" s="59">
        <f t="shared" si="0"/>
        <v>206.60910518053376</v>
      </c>
      <c r="E29" s="56">
        <f t="shared" si="2"/>
        <v>191.89167974882261</v>
      </c>
      <c r="F29" s="65">
        <v>13</v>
      </c>
      <c r="G29" s="46">
        <f t="shared" si="1"/>
        <v>0.13</v>
      </c>
      <c r="H29" s="56">
        <f t="shared" si="7"/>
        <v>0.81</v>
      </c>
      <c r="I29" s="56">
        <f t="shared" si="3"/>
        <v>2494.591836734694</v>
      </c>
      <c r="J29" s="59">
        <f t="shared" si="4"/>
        <v>478691.41783872107</v>
      </c>
      <c r="K29" s="56">
        <f t="shared" si="5"/>
        <v>483693.60151219042</v>
      </c>
      <c r="Q29" s="61"/>
    </row>
    <row r="30" spans="2:17" x14ac:dyDescent="0.3">
      <c r="B30" s="13">
        <v>8</v>
      </c>
      <c r="C30" s="59">
        <f t="shared" si="6"/>
        <v>206.60910518053376</v>
      </c>
      <c r="D30" s="59">
        <f t="shared" si="0"/>
        <v>236.04395604395606</v>
      </c>
      <c r="E30" s="56">
        <f t="shared" si="2"/>
        <v>221.32653061224491</v>
      </c>
      <c r="F30" s="65">
        <v>13</v>
      </c>
      <c r="G30" s="46">
        <f t="shared" si="1"/>
        <v>0.13</v>
      </c>
      <c r="H30" s="56">
        <f t="shared" si="7"/>
        <v>0.94000000000000006</v>
      </c>
      <c r="I30" s="56">
        <f t="shared" si="3"/>
        <v>2877.2448979591836</v>
      </c>
      <c r="J30" s="59">
        <f t="shared" si="4"/>
        <v>636810.63098708878</v>
      </c>
      <c r="K30" s="56">
        <f t="shared" si="5"/>
        <v>642578.12078300712</v>
      </c>
      <c r="Q30" s="61"/>
    </row>
    <row r="31" spans="2:17" x14ac:dyDescent="0.3">
      <c r="B31" s="13">
        <v>9</v>
      </c>
      <c r="C31" s="59">
        <f>D30</f>
        <v>236.04395604395606</v>
      </c>
      <c r="D31" s="59">
        <f t="shared" si="0"/>
        <v>265.47880690737833</v>
      </c>
      <c r="E31" s="56">
        <f t="shared" si="2"/>
        <v>250.76138147566718</v>
      </c>
      <c r="F31" s="65">
        <v>6</v>
      </c>
      <c r="G31" s="46">
        <f t="shared" si="1"/>
        <v>0.06</v>
      </c>
      <c r="H31" s="56">
        <f t="shared" si="7"/>
        <v>1</v>
      </c>
      <c r="I31" s="56">
        <f t="shared" si="3"/>
        <v>1504.5682888540032</v>
      </c>
      <c r="J31" s="59">
        <f>E31*E31*F31</f>
        <v>377287.62263751047</v>
      </c>
      <c r="K31" s="56">
        <f>(E31+1)^2*F31</f>
        <v>380302.75921521848</v>
      </c>
    </row>
    <row r="32" spans="2:17" x14ac:dyDescent="0.3">
      <c r="B32" s="55">
        <v>10</v>
      </c>
      <c r="C32" s="155">
        <f>D31</f>
        <v>265.47880690737833</v>
      </c>
      <c r="D32" s="156"/>
      <c r="E32" s="54"/>
      <c r="F32" s="65"/>
      <c r="G32" s="46"/>
      <c r="H32" s="17"/>
      <c r="I32" s="17"/>
      <c r="J32" s="17"/>
      <c r="K32" s="17"/>
    </row>
    <row r="33" spans="2:21" x14ac:dyDescent="0.3">
      <c r="B33" s="53" t="s">
        <v>9</v>
      </c>
      <c r="C33" s="53"/>
      <c r="D33" s="53"/>
      <c r="E33" s="17"/>
      <c r="F33" s="65">
        <f>SUM(F23:F31)</f>
        <v>100</v>
      </c>
      <c r="G33" s="46">
        <f>SUM(G23:G31)</f>
        <v>1</v>
      </c>
      <c r="H33" s="17"/>
      <c r="I33" s="59">
        <f>SUM(I23:I31)</f>
        <v>14361.852433281005</v>
      </c>
      <c r="J33" s="59">
        <f t="shared" ref="J33:K33" si="8">SUM(J23:J31)</f>
        <v>2437818.4324085871</v>
      </c>
      <c r="K33" s="59">
        <f t="shared" si="8"/>
        <v>2466642.1372751491</v>
      </c>
    </row>
    <row r="34" spans="2:21" x14ac:dyDescent="0.3">
      <c r="G34" s="67"/>
      <c r="H34" s="67"/>
      <c r="I34" s="67"/>
      <c r="J34" s="67"/>
      <c r="K34" s="67"/>
    </row>
    <row r="35" spans="2:21" ht="16.2" x14ac:dyDescent="0.3">
      <c r="B35" s="62" t="s">
        <v>30</v>
      </c>
      <c r="C35" s="63">
        <f>I33/F33</f>
        <v>143.61852433281004</v>
      </c>
      <c r="D35" s="62" t="s">
        <v>31</v>
      </c>
      <c r="E35" s="63">
        <f>J33/F33-C35*C35</f>
        <v>3751.9037925519224</v>
      </c>
      <c r="F35" s="62" t="s">
        <v>32</v>
      </c>
      <c r="G35" s="63">
        <f>SQRT(E35)</f>
        <v>61.252785998286825</v>
      </c>
      <c r="H35" s="62" t="s">
        <v>33</v>
      </c>
      <c r="I35" s="63">
        <f>100/99*E35</f>
        <v>3789.8018106585077</v>
      </c>
      <c r="J35" s="62" t="s">
        <v>34</v>
      </c>
      <c r="K35" s="63">
        <f>SQRT(I35)</f>
        <v>61.56136621825825</v>
      </c>
    </row>
    <row r="36" spans="2:21" x14ac:dyDescent="0.3">
      <c r="G36" s="67"/>
      <c r="H36" s="67"/>
      <c r="I36" s="67"/>
      <c r="J36" s="67"/>
      <c r="K36" s="67"/>
    </row>
    <row r="37" spans="2:21" x14ac:dyDescent="0.3">
      <c r="F37" s="173">
        <f>C35-3*K35</f>
        <v>-41.065574321964704</v>
      </c>
      <c r="G37" s="176" t="s">
        <v>89</v>
      </c>
      <c r="H37" s="174">
        <f>C35+3*K35</f>
        <v>328.30262298758475</v>
      </c>
      <c r="I37" s="67"/>
      <c r="J37" s="67"/>
      <c r="K37" s="67"/>
    </row>
    <row r="38" spans="2:21" x14ac:dyDescent="0.3">
      <c r="F38" s="173">
        <f>C35-1.984*K35/10</f>
        <v>131.4047492751076</v>
      </c>
      <c r="G38" s="175" t="s">
        <v>87</v>
      </c>
      <c r="H38" s="173">
        <f>C35+1.984*K35/10</f>
        <v>155.83229939051247</v>
      </c>
      <c r="I38" s="67"/>
      <c r="J38" s="67"/>
      <c r="K38" s="67"/>
    </row>
    <row r="39" spans="2:21" x14ac:dyDescent="0.3">
      <c r="F39" s="173">
        <f>K35*(1-0.143)</f>
        <v>52.758090849047321</v>
      </c>
      <c r="G39" s="175" t="s">
        <v>88</v>
      </c>
      <c r="H39" s="173">
        <f>K35*(1+0.143)</f>
        <v>70.36464158746918</v>
      </c>
      <c r="I39" s="67"/>
      <c r="J39" s="67"/>
    </row>
    <row r="40" spans="2:21" x14ac:dyDescent="0.3">
      <c r="F40" s="10"/>
      <c r="G40" s="67"/>
      <c r="H40" s="10"/>
      <c r="I40" s="67"/>
      <c r="J40" s="67"/>
      <c r="K40" s="67"/>
    </row>
    <row r="41" spans="2:21" x14ac:dyDescent="0.3">
      <c r="B41" s="146" t="s">
        <v>0</v>
      </c>
      <c r="C41" s="147" t="s">
        <v>38</v>
      </c>
      <c r="D41" s="148"/>
      <c r="E41" s="74" t="s">
        <v>41</v>
      </c>
      <c r="F41" s="74" t="s">
        <v>43</v>
      </c>
      <c r="G41" s="146"/>
      <c r="H41" s="149"/>
      <c r="I41" s="146" t="s">
        <v>86</v>
      </c>
      <c r="J41" s="146"/>
      <c r="K41" s="146"/>
    </row>
    <row r="42" spans="2:21" ht="15.6" x14ac:dyDescent="0.3">
      <c r="B42" s="146"/>
      <c r="C42" s="72" t="s">
        <v>39</v>
      </c>
      <c r="D42" s="73" t="s">
        <v>40</v>
      </c>
      <c r="E42" s="75" t="s">
        <v>42</v>
      </c>
      <c r="F42" s="75" t="s">
        <v>44</v>
      </c>
      <c r="G42" s="146"/>
      <c r="H42" s="149"/>
      <c r="I42" s="146"/>
      <c r="J42" s="146"/>
      <c r="K42" s="146"/>
    </row>
    <row r="43" spans="2:21" x14ac:dyDescent="0.3">
      <c r="B43" s="18">
        <v>1</v>
      </c>
      <c r="C43" s="157">
        <v>2</v>
      </c>
      <c r="D43" s="158"/>
      <c r="E43" s="18">
        <v>3</v>
      </c>
      <c r="F43" s="57">
        <v>4</v>
      </c>
      <c r="G43" s="18">
        <v>10</v>
      </c>
      <c r="H43" s="18">
        <v>11</v>
      </c>
      <c r="I43" s="18">
        <v>12</v>
      </c>
      <c r="J43" s="18">
        <v>13</v>
      </c>
      <c r="K43" s="18">
        <v>14</v>
      </c>
      <c r="O43" s="76">
        <v>0</v>
      </c>
      <c r="P43" s="1" t="s">
        <v>49</v>
      </c>
      <c r="Q43" s="1" t="s">
        <v>50</v>
      </c>
      <c r="R43" s="78" t="s">
        <v>51</v>
      </c>
      <c r="S43" s="79">
        <f>Q44</f>
        <v>0.56514913657770904</v>
      </c>
    </row>
    <row r="44" spans="2:21" x14ac:dyDescent="0.3">
      <c r="B44" s="46">
        <v>1</v>
      </c>
      <c r="C44" s="59">
        <f>C23</f>
        <v>0.56514913657770904</v>
      </c>
      <c r="D44" s="59">
        <f t="shared" ref="D44:D52" si="9">C44+$D$16</f>
        <v>30</v>
      </c>
      <c r="E44" s="56">
        <f>(C44+D44)/2</f>
        <v>15.282574568288855</v>
      </c>
      <c r="F44" s="65">
        <f t="array" ref="F44:F52">F23:F31</f>
        <v>1</v>
      </c>
      <c r="G44" s="59">
        <f>ROUND((C44-$C$35)/$K$35,2)</f>
        <v>-2.3199999999999998</v>
      </c>
      <c r="H44" s="45">
        <f>_xlfn.NORM.S.DIST(G44,1)-0.5</f>
        <v>-0.48982956133128031</v>
      </c>
      <c r="I44" s="44">
        <f>H45-H44</f>
        <v>2.1986336126894046E-2</v>
      </c>
      <c r="J44" s="44">
        <f>I44*$F$33</f>
        <v>2.1986336126894046</v>
      </c>
      <c r="K44" s="159">
        <f>(J44+J45-F44-F45)^2/(J45+J44)</f>
        <v>1.6135033674122514</v>
      </c>
      <c r="O44" s="76">
        <f t="shared" ref="O44:O52" si="10">H23</f>
        <v>0.01</v>
      </c>
      <c r="P44" s="1" t="s">
        <v>49</v>
      </c>
      <c r="Q44" s="80">
        <f t="shared" ref="Q44:Q52" si="11">C23</f>
        <v>0.56514913657770904</v>
      </c>
      <c r="R44" s="1" t="s">
        <v>25</v>
      </c>
      <c r="S44" s="1" t="s">
        <v>50</v>
      </c>
      <c r="T44" s="78" t="s">
        <v>51</v>
      </c>
      <c r="U44" s="79">
        <f t="shared" ref="U44:U52" si="12">D23</f>
        <v>30</v>
      </c>
    </row>
    <row r="45" spans="2:21" x14ac:dyDescent="0.3">
      <c r="B45" s="46">
        <v>2</v>
      </c>
      <c r="C45" s="59">
        <f>D44</f>
        <v>30</v>
      </c>
      <c r="D45" s="59">
        <f t="shared" si="9"/>
        <v>59.434850863422291</v>
      </c>
      <c r="E45" s="56">
        <f t="shared" ref="E45:E52" si="13">(C45+D45)/2</f>
        <v>44.717425431711149</v>
      </c>
      <c r="F45" s="65">
        <v>10</v>
      </c>
      <c r="G45" s="59">
        <f t="shared" ref="G45:G53" si="14">ROUND((C45-$C$35)/$K$35,2)</f>
        <v>-1.85</v>
      </c>
      <c r="H45" s="45">
        <f t="shared" ref="H45:H53" si="15">_xlfn.NORM.S.DIST(G45,1)-0.5</f>
        <v>-0.46784322520438626</v>
      </c>
      <c r="I45" s="44">
        <f t="shared" ref="I45:I52" si="16">H46-H45</f>
        <v>5.3186676026353186E-2</v>
      </c>
      <c r="J45" s="44">
        <f t="shared" ref="J45:J52" si="17">I45*$F$33</f>
        <v>5.318667602635319</v>
      </c>
      <c r="K45" s="160"/>
      <c r="O45" s="76">
        <f t="shared" si="10"/>
        <v>0.11</v>
      </c>
      <c r="P45" s="1" t="s">
        <v>49</v>
      </c>
      <c r="Q45" s="80">
        <f t="shared" si="11"/>
        <v>30</v>
      </c>
      <c r="R45" s="1" t="s">
        <v>25</v>
      </c>
      <c r="S45" s="1" t="s">
        <v>50</v>
      </c>
      <c r="T45" s="78" t="s">
        <v>51</v>
      </c>
      <c r="U45" s="79">
        <f t="shared" si="12"/>
        <v>59.434850863422291</v>
      </c>
    </row>
    <row r="46" spans="2:21" x14ac:dyDescent="0.3">
      <c r="B46" s="46">
        <v>3</v>
      </c>
      <c r="C46" s="59">
        <f t="shared" ref="C46:C51" si="18">D45</f>
        <v>59.434850863422291</v>
      </c>
      <c r="D46" s="59">
        <f t="shared" si="9"/>
        <v>88.869701726844582</v>
      </c>
      <c r="E46" s="56">
        <f t="shared" si="13"/>
        <v>74.152276295133433</v>
      </c>
      <c r="F46" s="65">
        <v>11</v>
      </c>
      <c r="G46" s="59">
        <f t="shared" si="14"/>
        <v>-1.37</v>
      </c>
      <c r="H46" s="45">
        <f t="shared" si="15"/>
        <v>-0.41465654917803307</v>
      </c>
      <c r="I46" s="44">
        <f t="shared" si="16"/>
        <v>0.10138949221520566</v>
      </c>
      <c r="J46" s="44">
        <f t="shared" si="17"/>
        <v>10.138949221520566</v>
      </c>
      <c r="K46" s="44">
        <f>(F46-J46)^2/J46</f>
        <v>7.31247811702571E-2</v>
      </c>
      <c r="O46" s="76">
        <f t="shared" si="10"/>
        <v>0.22</v>
      </c>
      <c r="P46" s="1" t="s">
        <v>49</v>
      </c>
      <c r="Q46" s="80">
        <f t="shared" si="11"/>
        <v>59.434850863422291</v>
      </c>
      <c r="R46" s="1" t="s">
        <v>25</v>
      </c>
      <c r="S46" s="1" t="s">
        <v>50</v>
      </c>
      <c r="T46" s="78" t="s">
        <v>51</v>
      </c>
      <c r="U46" s="79">
        <f t="shared" si="12"/>
        <v>88.869701726844582</v>
      </c>
    </row>
    <row r="47" spans="2:21" x14ac:dyDescent="0.3">
      <c r="B47" s="46">
        <v>4</v>
      </c>
      <c r="C47" s="59">
        <f t="shared" si="18"/>
        <v>88.869701726844582</v>
      </c>
      <c r="D47" s="59">
        <f t="shared" si="9"/>
        <v>118.30455259026687</v>
      </c>
      <c r="E47" s="56">
        <f t="shared" si="13"/>
        <v>103.58712715855572</v>
      </c>
      <c r="F47" s="65">
        <v>14</v>
      </c>
      <c r="G47" s="59">
        <f t="shared" si="14"/>
        <v>-0.89</v>
      </c>
      <c r="H47" s="45">
        <f t="shared" si="15"/>
        <v>-0.31326705696282742</v>
      </c>
      <c r="I47" s="44">
        <f t="shared" si="16"/>
        <v>0.15417003073515001</v>
      </c>
      <c r="J47" s="44">
        <f t="shared" si="17"/>
        <v>15.417003073515001</v>
      </c>
      <c r="K47" s="44">
        <f t="shared" ref="K47:K50" si="19">(F47-J47)^2/J47</f>
        <v>0.13023917169740629</v>
      </c>
      <c r="O47" s="76">
        <f t="shared" si="10"/>
        <v>0.36</v>
      </c>
      <c r="P47" s="1" t="s">
        <v>49</v>
      </c>
      <c r="Q47" s="80">
        <f t="shared" si="11"/>
        <v>88.869701726844582</v>
      </c>
      <c r="R47" s="1" t="s">
        <v>25</v>
      </c>
      <c r="S47" s="1" t="s">
        <v>50</v>
      </c>
      <c r="T47" s="78" t="s">
        <v>51</v>
      </c>
      <c r="U47" s="79">
        <f t="shared" si="12"/>
        <v>118.30455259026687</v>
      </c>
    </row>
    <row r="48" spans="2:21" x14ac:dyDescent="0.3">
      <c r="B48" s="46">
        <v>5</v>
      </c>
      <c r="C48" s="59">
        <f t="shared" si="18"/>
        <v>118.30455259026687</v>
      </c>
      <c r="D48" s="59">
        <f t="shared" si="9"/>
        <v>147.73940345368916</v>
      </c>
      <c r="E48" s="56">
        <f t="shared" si="13"/>
        <v>133.02197802197801</v>
      </c>
      <c r="F48" s="65">
        <v>15</v>
      </c>
      <c r="G48" s="59">
        <f t="shared" si="14"/>
        <v>-0.41</v>
      </c>
      <c r="H48" s="45">
        <f t="shared" si="15"/>
        <v>-0.15909702622767741</v>
      </c>
      <c r="I48" s="44">
        <f t="shared" si="16"/>
        <v>0.18700019640819854</v>
      </c>
      <c r="J48" s="44">
        <f t="shared" si="17"/>
        <v>18.700019640819853</v>
      </c>
      <c r="K48" s="44">
        <f t="shared" si="19"/>
        <v>0.73209256489596219</v>
      </c>
      <c r="N48" s="77" t="s">
        <v>48</v>
      </c>
      <c r="O48" s="76">
        <f t="shared" si="10"/>
        <v>0.51</v>
      </c>
      <c r="P48" s="1" t="s">
        <v>49</v>
      </c>
      <c r="Q48" s="80">
        <f t="shared" si="11"/>
        <v>118.30455259026687</v>
      </c>
      <c r="R48" s="1" t="s">
        <v>25</v>
      </c>
      <c r="S48" s="1" t="s">
        <v>50</v>
      </c>
      <c r="T48" s="78" t="s">
        <v>51</v>
      </c>
      <c r="U48" s="79">
        <f t="shared" si="12"/>
        <v>147.73940345368916</v>
      </c>
    </row>
    <row r="49" spans="2:21" x14ac:dyDescent="0.3">
      <c r="B49" s="46">
        <v>6</v>
      </c>
      <c r="C49" s="59">
        <f t="shared" si="18"/>
        <v>147.73940345368916</v>
      </c>
      <c r="D49" s="59">
        <f t="shared" si="9"/>
        <v>177.17425431711146</v>
      </c>
      <c r="E49" s="56">
        <f t="shared" si="13"/>
        <v>162.45682888540031</v>
      </c>
      <c r="F49" s="65">
        <v>17</v>
      </c>
      <c r="G49" s="59">
        <f t="shared" si="14"/>
        <v>7.0000000000000007E-2</v>
      </c>
      <c r="H49" s="45">
        <f t="shared" si="15"/>
        <v>2.7903170180521131E-2</v>
      </c>
      <c r="I49" s="44">
        <f t="shared" si="16"/>
        <v>0.18093714303113251</v>
      </c>
      <c r="J49" s="44">
        <f t="shared" si="17"/>
        <v>18.093714303113252</v>
      </c>
      <c r="K49" s="44">
        <f t="shared" si="19"/>
        <v>6.611196334788394E-2</v>
      </c>
      <c r="O49" s="76">
        <f t="shared" si="10"/>
        <v>0.68</v>
      </c>
      <c r="P49" s="1" t="s">
        <v>49</v>
      </c>
      <c r="Q49" s="80">
        <f t="shared" si="11"/>
        <v>147.73940345368916</v>
      </c>
      <c r="R49" s="1" t="s">
        <v>25</v>
      </c>
      <c r="S49" s="1" t="s">
        <v>50</v>
      </c>
      <c r="T49" s="78" t="s">
        <v>51</v>
      </c>
      <c r="U49" s="79">
        <f t="shared" si="12"/>
        <v>177.17425431711146</v>
      </c>
    </row>
    <row r="50" spans="2:21" x14ac:dyDescent="0.3">
      <c r="B50" s="46">
        <v>7</v>
      </c>
      <c r="C50" s="59">
        <f t="shared" si="18"/>
        <v>177.17425431711146</v>
      </c>
      <c r="D50" s="59">
        <f t="shared" si="9"/>
        <v>206.60910518053376</v>
      </c>
      <c r="E50" s="56">
        <f t="shared" si="13"/>
        <v>191.89167974882261</v>
      </c>
      <c r="F50" s="65">
        <v>13</v>
      </c>
      <c r="G50" s="59">
        <f t="shared" si="14"/>
        <v>0.55000000000000004</v>
      </c>
      <c r="H50" s="45">
        <f t="shared" si="15"/>
        <v>0.20884031321165364</v>
      </c>
      <c r="I50" s="44">
        <f t="shared" si="16"/>
        <v>0.13729545641561147</v>
      </c>
      <c r="J50" s="44">
        <f t="shared" si="17"/>
        <v>13.729545641561147</v>
      </c>
      <c r="K50" s="44">
        <f t="shared" si="19"/>
        <v>3.8765801652584531E-2</v>
      </c>
      <c r="O50" s="76">
        <f t="shared" si="10"/>
        <v>0.81</v>
      </c>
      <c r="P50" s="1" t="s">
        <v>49</v>
      </c>
      <c r="Q50" s="80">
        <f t="shared" si="11"/>
        <v>177.17425431711146</v>
      </c>
      <c r="R50" s="1" t="s">
        <v>25</v>
      </c>
      <c r="S50" s="1" t="s">
        <v>50</v>
      </c>
      <c r="T50" s="78" t="s">
        <v>51</v>
      </c>
      <c r="U50" s="79">
        <f t="shared" si="12"/>
        <v>206.60910518053376</v>
      </c>
    </row>
    <row r="51" spans="2:21" x14ac:dyDescent="0.3">
      <c r="B51" s="46">
        <v>8</v>
      </c>
      <c r="C51" s="59">
        <f t="shared" si="18"/>
        <v>206.60910518053376</v>
      </c>
      <c r="D51" s="59">
        <f t="shared" si="9"/>
        <v>236.04395604395606</v>
      </c>
      <c r="E51" s="56">
        <f t="shared" si="13"/>
        <v>221.32653061224491</v>
      </c>
      <c r="F51" s="65">
        <v>13</v>
      </c>
      <c r="G51" s="59">
        <f t="shared" si="14"/>
        <v>1.02</v>
      </c>
      <c r="H51" s="45">
        <f t="shared" si="15"/>
        <v>0.34613576962726511</v>
      </c>
      <c r="I51" s="44">
        <f t="shared" si="16"/>
        <v>8.7057029103876804E-2</v>
      </c>
      <c r="J51" s="44">
        <f t="shared" si="17"/>
        <v>8.7057029103876804</v>
      </c>
      <c r="K51" s="159">
        <f>(J51+J52-F51-F52)^2/(J52+J51)</f>
        <v>2.7678147653860194</v>
      </c>
      <c r="O51" s="76">
        <f t="shared" si="10"/>
        <v>0.94000000000000006</v>
      </c>
      <c r="P51" s="1" t="s">
        <v>49</v>
      </c>
      <c r="Q51" s="80">
        <f t="shared" si="11"/>
        <v>206.60910518053376</v>
      </c>
      <c r="R51" s="1" t="s">
        <v>25</v>
      </c>
      <c r="S51" s="1" t="s">
        <v>50</v>
      </c>
      <c r="T51" s="78" t="s">
        <v>51</v>
      </c>
      <c r="U51" s="79">
        <f t="shared" si="12"/>
        <v>236.04395604395606</v>
      </c>
    </row>
    <row r="52" spans="2:21" x14ac:dyDescent="0.3">
      <c r="B52" s="46">
        <v>9</v>
      </c>
      <c r="C52" s="59">
        <f>D51</f>
        <v>236.04395604395606</v>
      </c>
      <c r="D52" s="59">
        <f t="shared" si="9"/>
        <v>265.47880690737833</v>
      </c>
      <c r="E52" s="56">
        <f t="shared" si="13"/>
        <v>250.76138147566718</v>
      </c>
      <c r="F52" s="65">
        <v>6</v>
      </c>
      <c r="G52" s="59">
        <f t="shared" si="14"/>
        <v>1.5</v>
      </c>
      <c r="H52" s="45">
        <f t="shared" si="15"/>
        <v>0.43319279873114191</v>
      </c>
      <c r="I52" s="44">
        <f t="shared" si="16"/>
        <v>4.29554369273496E-2</v>
      </c>
      <c r="J52" s="44">
        <f t="shared" si="17"/>
        <v>4.2955436927349595</v>
      </c>
      <c r="K52" s="160"/>
      <c r="O52" s="76">
        <f t="shared" si="10"/>
        <v>1</v>
      </c>
      <c r="P52" s="1" t="s">
        <v>49</v>
      </c>
      <c r="Q52" s="80">
        <f t="shared" si="11"/>
        <v>236.04395604395606</v>
      </c>
      <c r="R52" s="1" t="s">
        <v>25</v>
      </c>
      <c r="S52" s="1" t="s">
        <v>50</v>
      </c>
      <c r="T52" s="78" t="s">
        <v>51</v>
      </c>
      <c r="U52" s="79">
        <f t="shared" si="12"/>
        <v>265.47880690737833</v>
      </c>
    </row>
    <row r="53" spans="2:21" x14ac:dyDescent="0.3">
      <c r="B53" s="55">
        <v>10</v>
      </c>
      <c r="C53" s="155">
        <f>D52</f>
        <v>265.47880690737833</v>
      </c>
      <c r="D53" s="156"/>
      <c r="E53" s="54"/>
      <c r="F53" s="65"/>
      <c r="G53" s="59">
        <f t="shared" si="14"/>
        <v>1.98</v>
      </c>
      <c r="H53" s="45">
        <f t="shared" si="15"/>
        <v>0.47614823565849151</v>
      </c>
      <c r="I53" s="64"/>
      <c r="J53" s="17"/>
      <c r="K53" s="17"/>
      <c r="O53" s="76">
        <v>1</v>
      </c>
      <c r="P53" s="1" t="s">
        <v>49</v>
      </c>
      <c r="Q53" s="1" t="s">
        <v>50</v>
      </c>
      <c r="R53" s="78" t="s">
        <v>52</v>
      </c>
      <c r="S53" s="152">
        <f>U52</f>
        <v>265.47880690737833</v>
      </c>
      <c r="T53" s="152"/>
    </row>
    <row r="54" spans="2:21" x14ac:dyDescent="0.3">
      <c r="B54" s="53" t="s">
        <v>9</v>
      </c>
      <c r="C54" s="53"/>
      <c r="D54" s="53"/>
      <c r="E54" s="17"/>
      <c r="F54" s="65">
        <f>SUM(F44:F52)</f>
        <v>100</v>
      </c>
      <c r="G54" s="17"/>
      <c r="H54" s="17"/>
      <c r="I54" s="17"/>
      <c r="J54" s="45">
        <f>SUM(J44:J52)</f>
        <v>96.597779698977178</v>
      </c>
      <c r="K54" s="44">
        <f>SUM(K44:K52)</f>
        <v>5.4216524155623649</v>
      </c>
    </row>
    <row r="57" spans="2:21" ht="21" x14ac:dyDescent="0.3">
      <c r="C57" s="145" t="s">
        <v>23</v>
      </c>
      <c r="D57" s="145"/>
      <c r="E57" s="47">
        <f>K54</f>
        <v>5.4216524155623649</v>
      </c>
    </row>
    <row r="58" spans="2:21" ht="21" x14ac:dyDescent="0.3">
      <c r="C58" s="145" t="s">
        <v>24</v>
      </c>
      <c r="D58" s="145"/>
      <c r="E58" s="48">
        <f>_xlfn.CHISQ.INV(0.95,4)</f>
        <v>9.4877290367811575</v>
      </c>
    </row>
    <row r="61" spans="2:21" ht="21" x14ac:dyDescent="0.3">
      <c r="D61" s="145" t="s">
        <v>23</v>
      </c>
      <c r="E61" s="145"/>
      <c r="F61" s="50" t="s">
        <v>25</v>
      </c>
      <c r="G61" s="145" t="s">
        <v>24</v>
      </c>
      <c r="H61" s="145"/>
    </row>
    <row r="62" spans="2:21" ht="15" thickBot="1" x14ac:dyDescent="0.35"/>
    <row r="63" spans="2:21" ht="15.6" customHeight="1" x14ac:dyDescent="0.3">
      <c r="B63" s="141" t="s">
        <v>0</v>
      </c>
      <c r="C63" s="139" t="s">
        <v>43</v>
      </c>
      <c r="D63" s="141" t="s">
        <v>45</v>
      </c>
      <c r="E63" s="143" t="s">
        <v>40</v>
      </c>
      <c r="F63" s="132"/>
      <c r="G63" s="132"/>
      <c r="H63" s="132"/>
      <c r="I63" s="135"/>
      <c r="J63" s="136"/>
    </row>
    <row r="64" spans="2:21" ht="16.2" thickBot="1" x14ac:dyDescent="0.35">
      <c r="B64" s="142"/>
      <c r="C64" s="140" t="s">
        <v>44</v>
      </c>
      <c r="D64" s="142"/>
      <c r="E64" s="144"/>
      <c r="F64" s="133"/>
      <c r="G64" s="133"/>
      <c r="H64" s="133"/>
      <c r="I64" s="137"/>
      <c r="J64" s="138"/>
    </row>
    <row r="65" spans="2:10" x14ac:dyDescent="0.3">
      <c r="B65" s="131">
        <v>1</v>
      </c>
      <c r="C65" s="131">
        <v>4</v>
      </c>
      <c r="D65" s="131">
        <v>6</v>
      </c>
      <c r="E65" s="131">
        <v>16</v>
      </c>
      <c r="F65" s="134">
        <v>17</v>
      </c>
      <c r="G65" s="134">
        <v>18</v>
      </c>
      <c r="H65" s="134">
        <v>19</v>
      </c>
      <c r="I65" s="153">
        <v>20</v>
      </c>
      <c r="J65" s="153"/>
    </row>
    <row r="66" spans="2:10" x14ac:dyDescent="0.3">
      <c r="B66" s="46">
        <v>1</v>
      </c>
      <c r="C66" s="46">
        <f t="array" ref="C66:C74">F44:F52</f>
        <v>1</v>
      </c>
      <c r="D66" s="56">
        <f t="shared" ref="D66:D74" si="20">H23</f>
        <v>0.01</v>
      </c>
      <c r="E66" s="59">
        <f t="shared" ref="E66:E74" si="21">D44</f>
        <v>30</v>
      </c>
      <c r="F66" s="59">
        <f>ROUND((E66-$C$35)/$K$35,2)</f>
        <v>-1.85</v>
      </c>
      <c r="G66" s="45">
        <f t="shared" ref="G66:G74" si="22">_xlfn.NORM.S.DIST(F66,1)-0.5</f>
        <v>-0.46784322520438626</v>
      </c>
      <c r="H66" s="44">
        <f>0.5+G66</f>
        <v>3.2156774795613741E-2</v>
      </c>
      <c r="I66" s="150">
        <f>ABS(H66-D66)</f>
        <v>2.2156774795613739E-2</v>
      </c>
      <c r="J66" s="150"/>
    </row>
    <row r="67" spans="2:10" x14ac:dyDescent="0.3">
      <c r="B67" s="46">
        <v>2</v>
      </c>
      <c r="C67" s="46">
        <v>10</v>
      </c>
      <c r="D67" s="56">
        <f t="shared" si="20"/>
        <v>0.11</v>
      </c>
      <c r="E67" s="59">
        <f t="shared" si="21"/>
        <v>59.434850863422291</v>
      </c>
      <c r="F67" s="59">
        <f t="shared" ref="F67:F74" si="23">ROUND((E67-$C$35)/$K$35,2)</f>
        <v>-1.37</v>
      </c>
      <c r="G67" s="45">
        <f t="shared" si="22"/>
        <v>-0.41465654917803307</v>
      </c>
      <c r="H67" s="93">
        <f t="shared" ref="H67:H74" si="24">0.5+G67</f>
        <v>8.5343450821966926E-2</v>
      </c>
      <c r="I67" s="150">
        <f t="shared" ref="I67:I74" si="25">ABS(H67-D67)</f>
        <v>2.4656549178033074E-2</v>
      </c>
      <c r="J67" s="150"/>
    </row>
    <row r="68" spans="2:10" x14ac:dyDescent="0.3">
      <c r="B68" s="46">
        <v>3</v>
      </c>
      <c r="C68" s="46">
        <v>11</v>
      </c>
      <c r="D68" s="56">
        <f t="shared" si="20"/>
        <v>0.22</v>
      </c>
      <c r="E68" s="59">
        <f t="shared" si="21"/>
        <v>88.869701726844582</v>
      </c>
      <c r="F68" s="59">
        <f t="shared" si="23"/>
        <v>-0.89</v>
      </c>
      <c r="G68" s="45">
        <f t="shared" si="22"/>
        <v>-0.31326705696282742</v>
      </c>
      <c r="H68" s="93">
        <f t="shared" si="24"/>
        <v>0.18673294303717258</v>
      </c>
      <c r="I68" s="150">
        <f t="shared" si="25"/>
        <v>3.3267056962827418E-2</v>
      </c>
      <c r="J68" s="150"/>
    </row>
    <row r="69" spans="2:10" x14ac:dyDescent="0.3">
      <c r="B69" s="46">
        <v>4</v>
      </c>
      <c r="C69" s="46">
        <v>14</v>
      </c>
      <c r="D69" s="56">
        <f t="shared" si="20"/>
        <v>0.36</v>
      </c>
      <c r="E69" s="59">
        <f t="shared" si="21"/>
        <v>118.30455259026687</v>
      </c>
      <c r="F69" s="59">
        <f t="shared" si="23"/>
        <v>-0.41</v>
      </c>
      <c r="G69" s="45">
        <f t="shared" si="22"/>
        <v>-0.15909702622767741</v>
      </c>
      <c r="H69" s="93">
        <f t="shared" si="24"/>
        <v>0.34090297377232259</v>
      </c>
      <c r="I69" s="150">
        <f t="shared" si="25"/>
        <v>1.9097026227677394E-2</v>
      </c>
      <c r="J69" s="150"/>
    </row>
    <row r="70" spans="2:10" x14ac:dyDescent="0.3">
      <c r="B70" s="46">
        <v>5</v>
      </c>
      <c r="C70" s="46">
        <v>15</v>
      </c>
      <c r="D70" s="56">
        <f t="shared" si="20"/>
        <v>0.51</v>
      </c>
      <c r="E70" s="59">
        <f t="shared" si="21"/>
        <v>147.73940345368916</v>
      </c>
      <c r="F70" s="59">
        <f t="shared" si="23"/>
        <v>7.0000000000000007E-2</v>
      </c>
      <c r="G70" s="45">
        <f t="shared" si="22"/>
        <v>2.7903170180521131E-2</v>
      </c>
      <c r="H70" s="93">
        <f t="shared" si="24"/>
        <v>0.52790317018052113</v>
      </c>
      <c r="I70" s="150">
        <f>ABS(H70-D70)</f>
        <v>1.7903170180521122E-2</v>
      </c>
      <c r="J70" s="150"/>
    </row>
    <row r="71" spans="2:10" x14ac:dyDescent="0.3">
      <c r="B71" s="46">
        <v>6</v>
      </c>
      <c r="C71" s="46">
        <v>17</v>
      </c>
      <c r="D71" s="56">
        <f t="shared" si="20"/>
        <v>0.68</v>
      </c>
      <c r="E71" s="59">
        <f t="shared" si="21"/>
        <v>177.17425431711146</v>
      </c>
      <c r="F71" s="59">
        <f t="shared" si="23"/>
        <v>0.55000000000000004</v>
      </c>
      <c r="G71" s="45">
        <f t="shared" si="22"/>
        <v>0.20884031321165364</v>
      </c>
      <c r="H71" s="93">
        <f t="shared" si="24"/>
        <v>0.70884031321165364</v>
      </c>
      <c r="I71" s="150">
        <f t="shared" si="25"/>
        <v>2.884031321165359E-2</v>
      </c>
      <c r="J71" s="150"/>
    </row>
    <row r="72" spans="2:10" x14ac:dyDescent="0.3">
      <c r="B72" s="46">
        <v>7</v>
      </c>
      <c r="C72" s="46">
        <v>13</v>
      </c>
      <c r="D72" s="56">
        <f t="shared" si="20"/>
        <v>0.81</v>
      </c>
      <c r="E72" s="59">
        <f t="shared" si="21"/>
        <v>206.60910518053376</v>
      </c>
      <c r="F72" s="59">
        <f t="shared" si="23"/>
        <v>1.02</v>
      </c>
      <c r="G72" s="45">
        <f t="shared" si="22"/>
        <v>0.34613576962726511</v>
      </c>
      <c r="H72" s="93">
        <f t="shared" si="24"/>
        <v>0.84613576962726511</v>
      </c>
      <c r="I72" s="150">
        <f t="shared" si="25"/>
        <v>3.6135769627265057E-2</v>
      </c>
      <c r="J72" s="150"/>
    </row>
    <row r="73" spans="2:10" x14ac:dyDescent="0.3">
      <c r="B73" s="46">
        <v>8</v>
      </c>
      <c r="C73" s="46">
        <v>13</v>
      </c>
      <c r="D73" s="56">
        <f t="shared" si="20"/>
        <v>0.94000000000000006</v>
      </c>
      <c r="E73" s="59">
        <f t="shared" si="21"/>
        <v>236.04395604395606</v>
      </c>
      <c r="F73" s="59">
        <f t="shared" si="23"/>
        <v>1.5</v>
      </c>
      <c r="G73" s="45">
        <f t="shared" si="22"/>
        <v>0.43319279873114191</v>
      </c>
      <c r="H73" s="93">
        <f t="shared" si="24"/>
        <v>0.93319279873114191</v>
      </c>
      <c r="I73" s="150">
        <f t="shared" si="25"/>
        <v>6.8072012688581429E-3</v>
      </c>
      <c r="J73" s="150"/>
    </row>
    <row r="74" spans="2:10" x14ac:dyDescent="0.3">
      <c r="B74" s="46">
        <v>9</v>
      </c>
      <c r="C74" s="68">
        <v>6</v>
      </c>
      <c r="D74" s="70">
        <f t="shared" si="20"/>
        <v>1</v>
      </c>
      <c r="E74" s="69">
        <f t="shared" si="21"/>
        <v>265.47880690737833</v>
      </c>
      <c r="F74" s="69">
        <f t="shared" si="23"/>
        <v>1.98</v>
      </c>
      <c r="G74" s="71">
        <f t="shared" si="22"/>
        <v>0.47614823565849151</v>
      </c>
      <c r="H74" s="93">
        <f t="shared" si="24"/>
        <v>0.97614823565849151</v>
      </c>
      <c r="I74" s="150">
        <f t="shared" si="25"/>
        <v>2.3851764341508486E-2</v>
      </c>
      <c r="J74" s="150"/>
    </row>
    <row r="75" spans="2:10" x14ac:dyDescent="0.3">
      <c r="B75" s="55">
        <v>10</v>
      </c>
      <c r="C75" s="17"/>
      <c r="D75" s="17"/>
      <c r="E75" s="17"/>
      <c r="F75" s="17"/>
      <c r="G75" s="46">
        <v>0.5</v>
      </c>
      <c r="H75" s="66"/>
      <c r="I75" s="151"/>
      <c r="J75" s="151"/>
    </row>
    <row r="77" spans="2:10" ht="21" x14ac:dyDescent="0.3">
      <c r="C77" s="145" t="s">
        <v>35</v>
      </c>
      <c r="D77" s="145"/>
      <c r="E77" s="48">
        <f>MAX(I66:J74)*10</f>
        <v>0.36135769627265057</v>
      </c>
    </row>
    <row r="78" spans="2:10" ht="21" x14ac:dyDescent="0.3">
      <c r="C78" s="145" t="s">
        <v>36</v>
      </c>
      <c r="D78" s="145"/>
      <c r="E78" s="48">
        <v>1.36</v>
      </c>
    </row>
    <row r="80" spans="2:10" ht="21" x14ac:dyDescent="0.3">
      <c r="D80" s="145" t="s">
        <v>37</v>
      </c>
      <c r="E80" s="145"/>
      <c r="F80" s="50" t="s">
        <v>52</v>
      </c>
      <c r="G80" s="145" t="s">
        <v>36</v>
      </c>
      <c r="H80" s="145"/>
    </row>
  </sheetData>
  <mergeCells count="44">
    <mergeCell ref="S53:T53"/>
    <mergeCell ref="I65:J65"/>
    <mergeCell ref="B2:K2"/>
    <mergeCell ref="C32:D32"/>
    <mergeCell ref="C22:D22"/>
    <mergeCell ref="C43:D43"/>
    <mergeCell ref="C53:D53"/>
    <mergeCell ref="K44:K45"/>
    <mergeCell ref="K51:K52"/>
    <mergeCell ref="I20:I21"/>
    <mergeCell ref="J20:J21"/>
    <mergeCell ref="K20:K21"/>
    <mergeCell ref="I41:I42"/>
    <mergeCell ref="J41:J42"/>
    <mergeCell ref="K41:K42"/>
    <mergeCell ref="B63:B64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G80:H80"/>
    <mergeCell ref="B20:B21"/>
    <mergeCell ref="C20:D20"/>
    <mergeCell ref="G20:G21"/>
    <mergeCell ref="H20:H21"/>
    <mergeCell ref="C57:D57"/>
    <mergeCell ref="C58:D58"/>
    <mergeCell ref="D61:E61"/>
    <mergeCell ref="G61:H61"/>
    <mergeCell ref="B41:B42"/>
    <mergeCell ref="C41:D41"/>
    <mergeCell ref="G41:G42"/>
    <mergeCell ref="H41:H42"/>
    <mergeCell ref="D63:D64"/>
    <mergeCell ref="E63:E64"/>
    <mergeCell ref="C77:D77"/>
    <mergeCell ref="C78:D78"/>
    <mergeCell ref="D80:E80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3" shapeId="3073" r:id="rId4">
          <objectPr defaultSize="0" autoPict="0" r:id="rId5">
            <anchor moveWithCells="1" sizeWithCells="1">
              <from>
                <xdr:col>6</xdr:col>
                <xdr:colOff>137160</xdr:colOff>
                <xdr:row>40</xdr:row>
                <xdr:rowOff>7620</xdr:rowOff>
              </from>
              <to>
                <xdr:col>6</xdr:col>
                <xdr:colOff>533400</xdr:colOff>
                <xdr:row>41</xdr:row>
                <xdr:rowOff>182880</xdr:rowOff>
              </to>
            </anchor>
          </objectPr>
        </oleObject>
      </mc:Choice>
      <mc:Fallback>
        <oleObject progId="Equation.3" shapeId="3073" r:id="rId4"/>
      </mc:Fallback>
    </mc:AlternateContent>
    <mc:AlternateContent xmlns:mc="http://schemas.openxmlformats.org/markup-compatibility/2006">
      <mc:Choice Requires="x14">
        <oleObject progId="Equation.3" shapeId="3074" r:id="rId6">
          <objectPr defaultSize="0" autoPict="0" r:id="rId7">
            <anchor moveWithCells="1" sizeWithCells="1">
              <from>
                <xdr:col>7</xdr:col>
                <xdr:colOff>7620</xdr:colOff>
                <xdr:row>40</xdr:row>
                <xdr:rowOff>0</xdr:rowOff>
              </from>
              <to>
                <xdr:col>7</xdr:col>
                <xdr:colOff>586740</xdr:colOff>
                <xdr:row>42</xdr:row>
                <xdr:rowOff>15240</xdr:rowOff>
              </to>
            </anchor>
          </objectPr>
        </oleObject>
      </mc:Choice>
      <mc:Fallback>
        <oleObject progId="Equation.3" shapeId="3074" r:id="rId6"/>
      </mc:Fallback>
    </mc:AlternateContent>
    <mc:AlternateContent xmlns:mc="http://schemas.openxmlformats.org/markup-compatibility/2006">
      <mc:Choice Requires="x14">
        <oleObject progId="Equation.3" shapeId="3075" r:id="rId8">
          <objectPr defaultSize="0" autoPict="0" r:id="rId9">
            <anchor moveWithCells="1" sizeWithCells="1">
              <from>
                <xdr:col>9</xdr:col>
                <xdr:colOff>213360</xdr:colOff>
                <xdr:row>40</xdr:row>
                <xdr:rowOff>60960</xdr:rowOff>
              </from>
              <to>
                <xdr:col>9</xdr:col>
                <xdr:colOff>655320</xdr:colOff>
                <xdr:row>41</xdr:row>
                <xdr:rowOff>91440</xdr:rowOff>
              </to>
            </anchor>
          </objectPr>
        </oleObject>
      </mc:Choice>
      <mc:Fallback>
        <oleObject progId="Equation.3" shapeId="3075" r:id="rId8"/>
      </mc:Fallback>
    </mc:AlternateContent>
    <mc:AlternateContent xmlns:mc="http://schemas.openxmlformats.org/markup-compatibility/2006">
      <mc:Choice Requires="x14">
        <oleObject progId="Equation.3" shapeId="3076" r:id="rId10">
          <objectPr defaultSize="0" autoPict="0" r:id="rId11">
            <anchor moveWithCells="1" sizeWithCells="1">
              <from>
                <xdr:col>10</xdr:col>
                <xdr:colOff>114300</xdr:colOff>
                <xdr:row>40</xdr:row>
                <xdr:rowOff>15240</xdr:rowOff>
              </from>
              <to>
                <xdr:col>10</xdr:col>
                <xdr:colOff>662940</xdr:colOff>
                <xdr:row>42</xdr:row>
                <xdr:rowOff>7620</xdr:rowOff>
              </to>
            </anchor>
          </objectPr>
        </oleObject>
      </mc:Choice>
      <mc:Fallback>
        <oleObject progId="Equation.3" shapeId="3076" r:id="rId10"/>
      </mc:Fallback>
    </mc:AlternateContent>
    <mc:AlternateContent xmlns:mc="http://schemas.openxmlformats.org/markup-compatibility/2006">
      <mc:Choice Requires="x14">
        <oleObject progId="Equation.3" shapeId="3077" r:id="rId12">
          <objectPr defaultSize="0" autoPict="0" r:id="rId5">
            <anchor moveWithCells="1" sizeWithCells="1">
              <from>
                <xdr:col>5</xdr:col>
                <xdr:colOff>114300</xdr:colOff>
                <xdr:row>62</xdr:row>
                <xdr:rowOff>15240</xdr:rowOff>
              </from>
              <to>
                <xdr:col>5</xdr:col>
                <xdr:colOff>533400</xdr:colOff>
                <xdr:row>63</xdr:row>
                <xdr:rowOff>190500</xdr:rowOff>
              </to>
            </anchor>
          </objectPr>
        </oleObject>
      </mc:Choice>
      <mc:Fallback>
        <oleObject progId="Equation.3" shapeId="3077" r:id="rId12"/>
      </mc:Fallback>
    </mc:AlternateContent>
    <mc:AlternateContent xmlns:mc="http://schemas.openxmlformats.org/markup-compatibility/2006">
      <mc:Choice Requires="x14">
        <oleObject progId="Equation.3" shapeId="3078" r:id="rId13">
          <objectPr defaultSize="0" autoPict="0" r:id="rId7">
            <anchor moveWithCells="1" sizeWithCells="1">
              <from>
                <xdr:col>6</xdr:col>
                <xdr:colOff>15240</xdr:colOff>
                <xdr:row>61</xdr:row>
                <xdr:rowOff>190500</xdr:rowOff>
              </from>
              <to>
                <xdr:col>6</xdr:col>
                <xdr:colOff>586740</xdr:colOff>
                <xdr:row>63</xdr:row>
                <xdr:rowOff>190500</xdr:rowOff>
              </to>
            </anchor>
          </objectPr>
        </oleObject>
      </mc:Choice>
      <mc:Fallback>
        <oleObject progId="Equation.3" shapeId="3078" r:id="rId13"/>
      </mc:Fallback>
    </mc:AlternateContent>
    <mc:AlternateContent xmlns:mc="http://schemas.openxmlformats.org/markup-compatibility/2006">
      <mc:Choice Requires="x14">
        <oleObject progId="Equation.3" shapeId="3079" r:id="rId14">
          <objectPr defaultSize="0" autoPict="0" r:id="rId15">
            <anchor moveWithCells="1" sizeWithCells="1">
              <from>
                <xdr:col>7</xdr:col>
                <xdr:colOff>144780</xdr:colOff>
                <xdr:row>62</xdr:row>
                <xdr:rowOff>91440</xdr:rowOff>
              </from>
              <to>
                <xdr:col>7</xdr:col>
                <xdr:colOff>487680</xdr:colOff>
                <xdr:row>63</xdr:row>
                <xdr:rowOff>91440</xdr:rowOff>
              </to>
            </anchor>
          </objectPr>
        </oleObject>
      </mc:Choice>
      <mc:Fallback>
        <oleObject progId="Equation.3" shapeId="3079" r:id="rId14"/>
      </mc:Fallback>
    </mc:AlternateContent>
    <mc:AlternateContent xmlns:mc="http://schemas.openxmlformats.org/markup-compatibility/2006">
      <mc:Choice Requires="x14">
        <oleObject progId="Equation.3" shapeId="3080" r:id="rId16">
          <objectPr defaultSize="0" autoPict="0" r:id="rId17">
            <anchor moveWithCells="1" sizeWithCells="1">
              <from>
                <xdr:col>8</xdr:col>
                <xdr:colOff>259080</xdr:colOff>
                <xdr:row>62</xdr:row>
                <xdr:rowOff>68580</xdr:rowOff>
              </from>
              <to>
                <xdr:col>9</xdr:col>
                <xdr:colOff>579120</xdr:colOff>
                <xdr:row>63</xdr:row>
                <xdr:rowOff>121920</xdr:rowOff>
              </to>
            </anchor>
          </objectPr>
        </oleObject>
      </mc:Choice>
      <mc:Fallback>
        <oleObject progId="Equation.3" shapeId="3080" r:id="rId1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E43"/>
  <sheetViews>
    <sheetView topLeftCell="A28" zoomScaleNormal="100" workbookViewId="0">
      <selection activeCell="G47" sqref="G47"/>
    </sheetView>
  </sheetViews>
  <sheetFormatPr defaultRowHeight="14.4" x14ac:dyDescent="0.3"/>
  <cols>
    <col min="2" max="3" width="2.6640625" customWidth="1"/>
    <col min="4" max="12" width="6.6640625" customWidth="1"/>
    <col min="13" max="13" width="6" bestFit="1" customWidth="1"/>
    <col min="14" max="14" width="9" bestFit="1" customWidth="1"/>
    <col min="15" max="15" width="7.77734375" customWidth="1"/>
    <col min="16" max="16" width="7.21875" customWidth="1"/>
    <col min="17" max="17" width="9.109375" bestFit="1" customWidth="1"/>
    <col min="21" max="21" width="10.5546875" customWidth="1"/>
    <col min="27" max="31" width="8.88671875" style="127"/>
  </cols>
  <sheetData>
    <row r="4" spans="2:31" x14ac:dyDescent="0.3">
      <c r="AA4" s="127">
        <v>300</v>
      </c>
      <c r="AB4" s="127">
        <v>0.3</v>
      </c>
      <c r="AD4" s="127">
        <v>300</v>
      </c>
      <c r="AE4" s="128">
        <f>O7</f>
        <v>0.50594610427650788</v>
      </c>
    </row>
    <row r="5" spans="2:31" x14ac:dyDescent="0.3">
      <c r="B5" s="81"/>
      <c r="C5" s="82" t="s">
        <v>54</v>
      </c>
      <c r="D5" s="88">
        <v>0.3</v>
      </c>
      <c r="E5" s="88">
        <v>0.4</v>
      </c>
      <c r="F5" s="88">
        <v>0.5</v>
      </c>
      <c r="G5" s="88">
        <v>0.6</v>
      </c>
      <c r="H5" s="88">
        <v>0.7</v>
      </c>
      <c r="I5" s="88">
        <v>0.8</v>
      </c>
      <c r="J5" s="88">
        <v>0.9</v>
      </c>
      <c r="K5" s="97">
        <v>1</v>
      </c>
      <c r="L5" s="162" t="s">
        <v>55</v>
      </c>
      <c r="M5" s="162" t="s">
        <v>57</v>
      </c>
      <c r="N5" s="162" t="s">
        <v>58</v>
      </c>
      <c r="O5" s="162" t="s">
        <v>71</v>
      </c>
      <c r="P5" s="161" t="s">
        <v>72</v>
      </c>
      <c r="AA5" s="127">
        <v>300</v>
      </c>
      <c r="AB5" s="127">
        <v>0.4</v>
      </c>
      <c r="AD5" s="127">
        <v>400</v>
      </c>
      <c r="AE5" s="128">
        <f t="shared" ref="AE5:AE9" si="0">O8</f>
        <v>0.58401679359500069</v>
      </c>
    </row>
    <row r="6" spans="2:31" x14ac:dyDescent="0.3">
      <c r="B6" s="83" t="s">
        <v>53</v>
      </c>
      <c r="C6" s="84"/>
      <c r="D6" s="95"/>
      <c r="E6" s="95"/>
      <c r="F6" s="95"/>
      <c r="G6" s="95"/>
      <c r="H6" s="95"/>
      <c r="I6" s="95"/>
      <c r="J6" s="95"/>
      <c r="K6" s="96"/>
      <c r="L6" s="163"/>
      <c r="M6" s="163"/>
      <c r="N6" s="163"/>
      <c r="O6" s="163"/>
      <c r="P6" s="161"/>
      <c r="AA6" s="127">
        <v>300</v>
      </c>
      <c r="AB6" s="127">
        <v>0.5</v>
      </c>
      <c r="AD6" s="127">
        <v>500</v>
      </c>
      <c r="AE6" s="128">
        <f t="shared" si="0"/>
        <v>0.66208748291349329</v>
      </c>
    </row>
    <row r="7" spans="2:31" x14ac:dyDescent="0.3">
      <c r="B7" s="14">
        <v>300</v>
      </c>
      <c r="C7" s="15"/>
      <c r="D7" s="28">
        <v>2</v>
      </c>
      <c r="E7" s="28">
        <v>3</v>
      </c>
      <c r="F7" s="28">
        <v>6</v>
      </c>
      <c r="G7" s="28"/>
      <c r="H7" s="28"/>
      <c r="I7" s="28"/>
      <c r="J7" s="28"/>
      <c r="K7" s="28"/>
      <c r="L7" s="28">
        <f>SUM(D7:K7)</f>
        <v>11</v>
      </c>
      <c r="M7" s="17">
        <f>B7*L7</f>
        <v>3300</v>
      </c>
      <c r="N7" s="17">
        <f>B7*B7*L7</f>
        <v>990000</v>
      </c>
      <c r="O7" s="92">
        <f t="shared" ref="O7:O12" si="1">I36</f>
        <v>0.50594610427650788</v>
      </c>
      <c r="P7" s="92">
        <f>SUMPRODUCT($D$5:$K$5,D7:K7)/L7</f>
        <v>0.43636363636363645</v>
      </c>
      <c r="R7" s="85">
        <f t="shared" ref="R7:Y7" si="2">$B7*D$5*D7</f>
        <v>180</v>
      </c>
      <c r="S7" s="85">
        <f t="shared" si="2"/>
        <v>360</v>
      </c>
      <c r="T7" s="85">
        <f t="shared" si="2"/>
        <v>900</v>
      </c>
      <c r="U7" s="85">
        <f t="shared" si="2"/>
        <v>0</v>
      </c>
      <c r="V7" s="85">
        <f t="shared" si="2"/>
        <v>0</v>
      </c>
      <c r="W7" s="85">
        <f t="shared" si="2"/>
        <v>0</v>
      </c>
      <c r="X7" s="85">
        <f t="shared" si="2"/>
        <v>0</v>
      </c>
      <c r="Y7" s="85">
        <f t="shared" si="2"/>
        <v>0</v>
      </c>
      <c r="AA7" s="127">
        <v>400</v>
      </c>
      <c r="AB7" s="127">
        <v>0.5</v>
      </c>
      <c r="AD7" s="127">
        <v>600</v>
      </c>
      <c r="AE7" s="128">
        <f t="shared" si="0"/>
        <v>0.7401581722319861</v>
      </c>
    </row>
    <row r="8" spans="2:31" x14ac:dyDescent="0.3">
      <c r="B8" s="14">
        <v>400</v>
      </c>
      <c r="C8" s="15"/>
      <c r="D8" s="28"/>
      <c r="E8" s="28"/>
      <c r="F8" s="28">
        <v>3</v>
      </c>
      <c r="G8" s="28">
        <v>6</v>
      </c>
      <c r="H8" s="28">
        <v>5</v>
      </c>
      <c r="I8" s="28"/>
      <c r="J8" s="28"/>
      <c r="K8" s="28"/>
      <c r="L8" s="28">
        <f t="shared" ref="L8:L12" si="3">SUM(D8:K8)</f>
        <v>14</v>
      </c>
      <c r="M8" s="17">
        <f t="shared" ref="M8:M12" si="4">B8*L8</f>
        <v>5600</v>
      </c>
      <c r="N8" s="17">
        <f t="shared" ref="N8:N12" si="5">B8*B8*L8</f>
        <v>2240000</v>
      </c>
      <c r="O8" s="92">
        <f t="shared" si="1"/>
        <v>0.58401679359500069</v>
      </c>
      <c r="P8" s="92">
        <f t="shared" ref="P8:P12" si="6">SUMPRODUCT($D$5:$K$5,D8:K8)/L8</f>
        <v>0.61428571428571421</v>
      </c>
      <c r="R8" s="85">
        <f t="shared" ref="R8:R12" si="7">$B8*D$5*D8</f>
        <v>0</v>
      </c>
      <c r="S8" s="85">
        <f t="shared" ref="S8:S12" si="8">$B8*E$5*E8</f>
        <v>0</v>
      </c>
      <c r="T8" s="85">
        <f t="shared" ref="T8:T12" si="9">$B8*F$5*F8</f>
        <v>600</v>
      </c>
      <c r="U8" s="85">
        <f t="shared" ref="U8:U12" si="10">$B8*G$5*G8</f>
        <v>1440</v>
      </c>
      <c r="V8" s="85">
        <f t="shared" ref="V8:V12" si="11">$B8*H$5*H8</f>
        <v>1400</v>
      </c>
      <c r="W8" s="85">
        <f t="shared" ref="W8:W12" si="12">$B8*I$5*I8</f>
        <v>0</v>
      </c>
      <c r="X8" s="85">
        <f t="shared" ref="X8:X12" si="13">$B8*J$5*J8</f>
        <v>0</v>
      </c>
      <c r="Y8" s="85">
        <f t="shared" ref="Y8:Y12" si="14">$B8*K$5*K8</f>
        <v>0</v>
      </c>
      <c r="AA8" s="127">
        <v>400</v>
      </c>
      <c r="AB8" s="127">
        <v>0.6</v>
      </c>
      <c r="AD8" s="127">
        <v>700</v>
      </c>
      <c r="AE8" s="128">
        <f t="shared" si="0"/>
        <v>0.81822886155047869</v>
      </c>
    </row>
    <row r="9" spans="2:31" x14ac:dyDescent="0.3">
      <c r="B9" s="14">
        <v>500</v>
      </c>
      <c r="C9" s="15"/>
      <c r="D9" s="28"/>
      <c r="E9" s="28"/>
      <c r="F9" s="28"/>
      <c r="G9" s="28">
        <v>4</v>
      </c>
      <c r="H9" s="28">
        <v>15</v>
      </c>
      <c r="I9" s="28">
        <v>8</v>
      </c>
      <c r="J9" s="28"/>
      <c r="K9" s="28"/>
      <c r="L9" s="28">
        <f t="shared" si="3"/>
        <v>27</v>
      </c>
      <c r="M9" s="17">
        <f t="shared" si="4"/>
        <v>13500</v>
      </c>
      <c r="N9" s="17">
        <f t="shared" si="5"/>
        <v>6750000</v>
      </c>
      <c r="O9" s="92">
        <f t="shared" si="1"/>
        <v>0.66208748291349329</v>
      </c>
      <c r="P9" s="92">
        <f t="shared" si="6"/>
        <v>0.71481481481481479</v>
      </c>
      <c r="R9" s="85">
        <f t="shared" si="7"/>
        <v>0</v>
      </c>
      <c r="S9" s="85">
        <f t="shared" si="8"/>
        <v>0</v>
      </c>
      <c r="T9" s="85">
        <f t="shared" si="9"/>
        <v>0</v>
      </c>
      <c r="U9" s="85">
        <f t="shared" si="10"/>
        <v>1200</v>
      </c>
      <c r="V9" s="85">
        <f t="shared" si="11"/>
        <v>5250</v>
      </c>
      <c r="W9" s="85">
        <f t="shared" si="12"/>
        <v>3200</v>
      </c>
      <c r="X9" s="85">
        <f t="shared" si="13"/>
        <v>0</v>
      </c>
      <c r="Y9" s="85">
        <f t="shared" si="14"/>
        <v>0</v>
      </c>
      <c r="AA9" s="127">
        <v>400</v>
      </c>
      <c r="AB9" s="127">
        <v>0.7</v>
      </c>
      <c r="AD9" s="127">
        <v>800</v>
      </c>
      <c r="AE9" s="128">
        <f t="shared" si="0"/>
        <v>0.89629955086897151</v>
      </c>
    </row>
    <row r="10" spans="2:31" x14ac:dyDescent="0.3">
      <c r="B10" s="14">
        <v>600</v>
      </c>
      <c r="C10" s="15"/>
      <c r="D10" s="28"/>
      <c r="E10" s="28"/>
      <c r="F10" s="28"/>
      <c r="G10" s="28">
        <v>8</v>
      </c>
      <c r="H10" s="28">
        <v>5</v>
      </c>
      <c r="I10" s="28">
        <v>10</v>
      </c>
      <c r="J10" s="28"/>
      <c r="K10" s="28"/>
      <c r="L10" s="28">
        <f t="shared" si="3"/>
        <v>23</v>
      </c>
      <c r="M10" s="17">
        <f t="shared" si="4"/>
        <v>13800</v>
      </c>
      <c r="N10" s="17">
        <f t="shared" si="5"/>
        <v>8280000</v>
      </c>
      <c r="O10" s="92">
        <f t="shared" si="1"/>
        <v>0.7401581722319861</v>
      </c>
      <c r="P10" s="92">
        <f t="shared" si="6"/>
        <v>0.70869565217391306</v>
      </c>
      <c r="R10" s="85">
        <f t="shared" si="7"/>
        <v>0</v>
      </c>
      <c r="S10" s="85">
        <f t="shared" si="8"/>
        <v>0</v>
      </c>
      <c r="T10" s="85">
        <f t="shared" si="9"/>
        <v>0</v>
      </c>
      <c r="U10" s="85">
        <f t="shared" si="10"/>
        <v>2880</v>
      </c>
      <c r="V10" s="85">
        <f t="shared" si="11"/>
        <v>2100</v>
      </c>
      <c r="W10" s="85">
        <f t="shared" si="12"/>
        <v>4800</v>
      </c>
      <c r="X10" s="85">
        <f t="shared" si="13"/>
        <v>0</v>
      </c>
      <c r="Y10" s="85">
        <f t="shared" si="14"/>
        <v>0</v>
      </c>
      <c r="AA10" s="127">
        <v>500</v>
      </c>
      <c r="AB10" s="127">
        <v>0.6</v>
      </c>
    </row>
    <row r="11" spans="2:31" x14ac:dyDescent="0.3">
      <c r="B11" s="14">
        <v>700</v>
      </c>
      <c r="C11" s="15"/>
      <c r="D11" s="28"/>
      <c r="E11" s="28"/>
      <c r="F11" s="28"/>
      <c r="G11" s="28"/>
      <c r="H11" s="28">
        <v>7</v>
      </c>
      <c r="I11" s="28">
        <v>6</v>
      </c>
      <c r="J11" s="28">
        <v>3</v>
      </c>
      <c r="K11" s="28"/>
      <c r="L11" s="28">
        <f t="shared" si="3"/>
        <v>16</v>
      </c>
      <c r="M11" s="17">
        <f t="shared" si="4"/>
        <v>11200</v>
      </c>
      <c r="N11" s="17">
        <f t="shared" si="5"/>
        <v>7840000</v>
      </c>
      <c r="O11" s="92">
        <f t="shared" si="1"/>
        <v>0.81822886155047869</v>
      </c>
      <c r="P11" s="92">
        <f t="shared" si="6"/>
        <v>0.77499999999999991</v>
      </c>
      <c r="R11" s="85">
        <f t="shared" si="7"/>
        <v>0</v>
      </c>
      <c r="S11" s="85">
        <f t="shared" si="8"/>
        <v>0</v>
      </c>
      <c r="T11" s="85">
        <f t="shared" si="9"/>
        <v>0</v>
      </c>
      <c r="U11" s="85">
        <f t="shared" si="10"/>
        <v>0</v>
      </c>
      <c r="V11" s="85">
        <f t="shared" si="11"/>
        <v>3429.9999999999995</v>
      </c>
      <c r="W11" s="85">
        <f t="shared" si="12"/>
        <v>3360</v>
      </c>
      <c r="X11" s="85">
        <f t="shared" si="13"/>
        <v>1890</v>
      </c>
      <c r="Y11" s="85">
        <f t="shared" si="14"/>
        <v>0</v>
      </c>
      <c r="AA11" s="127">
        <v>500</v>
      </c>
      <c r="AB11" s="127">
        <v>0.7</v>
      </c>
      <c r="AD11" s="129">
        <f>D36</f>
        <v>227.69553910782346</v>
      </c>
      <c r="AE11" s="127">
        <v>0.3</v>
      </c>
    </row>
    <row r="12" spans="2:31" x14ac:dyDescent="0.3">
      <c r="B12" s="14">
        <v>800</v>
      </c>
      <c r="C12" s="15"/>
      <c r="D12" s="28"/>
      <c r="E12" s="28"/>
      <c r="F12" s="28"/>
      <c r="G12" s="28"/>
      <c r="H12" s="28"/>
      <c r="I12" s="28"/>
      <c r="J12" s="28">
        <v>6</v>
      </c>
      <c r="K12" s="28">
        <v>3</v>
      </c>
      <c r="L12" s="28">
        <f t="shared" si="3"/>
        <v>9</v>
      </c>
      <c r="M12" s="17">
        <f t="shared" si="4"/>
        <v>7200</v>
      </c>
      <c r="N12" s="17">
        <f t="shared" si="5"/>
        <v>5760000</v>
      </c>
      <c r="O12" s="92">
        <f t="shared" si="1"/>
        <v>0.89629955086897151</v>
      </c>
      <c r="P12" s="92">
        <f t="shared" si="6"/>
        <v>0.93333333333333335</v>
      </c>
      <c r="R12" s="85">
        <f t="shared" si="7"/>
        <v>0</v>
      </c>
      <c r="S12" s="85">
        <f t="shared" si="8"/>
        <v>0</v>
      </c>
      <c r="T12" s="85">
        <f t="shared" si="9"/>
        <v>0</v>
      </c>
      <c r="U12" s="85">
        <f t="shared" si="10"/>
        <v>0</v>
      </c>
      <c r="V12" s="85">
        <f t="shared" si="11"/>
        <v>0</v>
      </c>
      <c r="W12" s="85">
        <f t="shared" si="12"/>
        <v>0</v>
      </c>
      <c r="X12" s="85">
        <f t="shared" si="13"/>
        <v>4320</v>
      </c>
      <c r="Y12" s="85">
        <f t="shared" si="14"/>
        <v>2400</v>
      </c>
      <c r="AA12" s="127">
        <v>500</v>
      </c>
      <c r="AB12" s="127">
        <v>0.8</v>
      </c>
      <c r="AD12" s="129">
        <f t="shared" ref="AD12:AD18" si="15">D37</f>
        <v>307.67153430686284</v>
      </c>
      <c r="AE12" s="127">
        <v>0.4</v>
      </c>
    </row>
    <row r="13" spans="2:31" ht="15.6" x14ac:dyDescent="0.35">
      <c r="B13" s="151" t="s">
        <v>56</v>
      </c>
      <c r="C13" s="151"/>
      <c r="D13" s="28">
        <f>SUM(D7:D12)</f>
        <v>2</v>
      </c>
      <c r="E13" s="28">
        <f t="shared" ref="E13:K13" si="16">SUM(E7:E12)</f>
        <v>3</v>
      </c>
      <c r="F13" s="28">
        <f t="shared" si="16"/>
        <v>9</v>
      </c>
      <c r="G13" s="28">
        <f t="shared" si="16"/>
        <v>18</v>
      </c>
      <c r="H13" s="28">
        <f t="shared" si="16"/>
        <v>32</v>
      </c>
      <c r="I13" s="28">
        <f t="shared" si="16"/>
        <v>24</v>
      </c>
      <c r="J13" s="28">
        <f t="shared" si="16"/>
        <v>9</v>
      </c>
      <c r="K13" s="28">
        <f t="shared" si="16"/>
        <v>3</v>
      </c>
      <c r="L13" s="28">
        <f>SUM(L7:L12)</f>
        <v>100</v>
      </c>
      <c r="M13" s="17">
        <f>SUM(M7:M12)</f>
        <v>54600</v>
      </c>
      <c r="N13" s="17">
        <f>SUM(N7:N12)</f>
        <v>31860000</v>
      </c>
      <c r="O13" s="17"/>
      <c r="P13" s="17"/>
      <c r="AA13" s="127">
        <v>600</v>
      </c>
      <c r="AB13" s="127">
        <v>0.6</v>
      </c>
      <c r="AD13" s="129">
        <f t="shared" si="15"/>
        <v>387.64752950590213</v>
      </c>
      <c r="AE13" s="127">
        <v>0.5</v>
      </c>
    </row>
    <row r="14" spans="2:31" ht="15.6" x14ac:dyDescent="0.35">
      <c r="B14" s="151" t="s">
        <v>59</v>
      </c>
      <c r="C14" s="151"/>
      <c r="D14" s="17">
        <f>D5*D13</f>
        <v>0.6</v>
      </c>
      <c r="E14" s="17">
        <f t="shared" ref="E14:K14" si="17">E5*E13</f>
        <v>1.2000000000000002</v>
      </c>
      <c r="F14" s="17">
        <f t="shared" si="17"/>
        <v>4.5</v>
      </c>
      <c r="G14" s="17">
        <f t="shared" si="17"/>
        <v>10.799999999999999</v>
      </c>
      <c r="H14" s="17">
        <f t="shared" si="17"/>
        <v>22.4</v>
      </c>
      <c r="I14" s="17">
        <f t="shared" si="17"/>
        <v>19.200000000000003</v>
      </c>
      <c r="J14" s="17">
        <f t="shared" si="17"/>
        <v>8.1</v>
      </c>
      <c r="K14" s="86">
        <f t="shared" si="17"/>
        <v>3</v>
      </c>
      <c r="L14" s="87">
        <f>SUM(D14:K14)</f>
        <v>69.8</v>
      </c>
      <c r="U14" s="105" t="s">
        <v>82</v>
      </c>
      <c r="V14" s="106">
        <f>SUM(R7:Y12)</f>
        <v>39710</v>
      </c>
      <c r="AA14" s="127">
        <v>600</v>
      </c>
      <c r="AB14" s="127">
        <v>0.7</v>
      </c>
      <c r="AD14" s="129">
        <f t="shared" si="15"/>
        <v>467.62352470494142</v>
      </c>
      <c r="AE14" s="127">
        <v>0.6</v>
      </c>
    </row>
    <row r="15" spans="2:31" ht="16.8" x14ac:dyDescent="0.35">
      <c r="B15" s="151" t="s">
        <v>60</v>
      </c>
      <c r="C15" s="151"/>
      <c r="D15" s="17">
        <f>D5*D5*D13</f>
        <v>0.18</v>
      </c>
      <c r="E15" s="17">
        <f t="shared" ref="E15:K15" si="18">E5*E5*E13</f>
        <v>0.48000000000000009</v>
      </c>
      <c r="F15" s="17">
        <f t="shared" si="18"/>
        <v>2.25</v>
      </c>
      <c r="G15" s="17">
        <f t="shared" si="18"/>
        <v>6.4799999999999995</v>
      </c>
      <c r="H15" s="17">
        <f t="shared" si="18"/>
        <v>15.679999999999998</v>
      </c>
      <c r="I15" s="17">
        <f t="shared" si="18"/>
        <v>15.360000000000003</v>
      </c>
      <c r="J15" s="17">
        <f t="shared" si="18"/>
        <v>7.2900000000000009</v>
      </c>
      <c r="K15" s="86">
        <f t="shared" si="18"/>
        <v>3</v>
      </c>
      <c r="L15" s="87">
        <f>SUM(D15:K15)</f>
        <v>50.720000000000006</v>
      </c>
      <c r="AA15" s="127">
        <v>600</v>
      </c>
      <c r="AB15" s="127">
        <v>0.8</v>
      </c>
      <c r="AD15" s="129">
        <f t="shared" si="15"/>
        <v>547.59951990398076</v>
      </c>
      <c r="AE15" s="127">
        <v>0.7</v>
      </c>
    </row>
    <row r="16" spans="2:31" ht="15.6" x14ac:dyDescent="0.35">
      <c r="B16" s="151" t="s">
        <v>77</v>
      </c>
      <c r="C16" s="151"/>
      <c r="D16" s="98">
        <f t="array" ref="D16:K16">TRANSPOSE(D36:D43)</f>
        <v>227.69553910782346</v>
      </c>
      <c r="E16" s="98">
        <v>307.67153430686284</v>
      </c>
      <c r="F16" s="98">
        <v>387.64752950590213</v>
      </c>
      <c r="G16" s="98">
        <v>467.62352470494142</v>
      </c>
      <c r="H16" s="98">
        <v>547.59951990398076</v>
      </c>
      <c r="I16" s="98">
        <v>627.57551510302017</v>
      </c>
      <c r="J16" s="98">
        <v>707.55151030205946</v>
      </c>
      <c r="K16" s="98">
        <v>787.52750550109874</v>
      </c>
      <c r="L16" s="90"/>
      <c r="AA16" s="127">
        <v>700</v>
      </c>
      <c r="AB16" s="127">
        <v>0.7</v>
      </c>
      <c r="AD16" s="129">
        <f t="shared" si="15"/>
        <v>627.57551510302017</v>
      </c>
      <c r="AE16" s="127">
        <v>0.8</v>
      </c>
    </row>
    <row r="17" spans="2:31" ht="15.6" x14ac:dyDescent="0.35">
      <c r="B17" s="151" t="s">
        <v>78</v>
      </c>
      <c r="C17" s="151"/>
      <c r="D17" s="98">
        <f>SUMPRODUCT($B$7:$B$12,D7:D12)/D13</f>
        <v>300</v>
      </c>
      <c r="E17" s="98">
        <f t="shared" ref="E17:K17" si="19">SUMPRODUCT($B$7:$B$12,E7:E12)/E13</f>
        <v>300</v>
      </c>
      <c r="F17" s="98">
        <f t="shared" si="19"/>
        <v>333.33333333333331</v>
      </c>
      <c r="G17" s="98">
        <f t="shared" si="19"/>
        <v>511.11111111111109</v>
      </c>
      <c r="H17" s="98">
        <f t="shared" si="19"/>
        <v>543.75</v>
      </c>
      <c r="I17" s="98">
        <f t="shared" si="19"/>
        <v>591.66666666666663</v>
      </c>
      <c r="J17" s="98">
        <f t="shared" si="19"/>
        <v>766.66666666666663</v>
      </c>
      <c r="K17" s="98">
        <f t="shared" si="19"/>
        <v>800</v>
      </c>
      <c r="L17" s="94"/>
      <c r="AA17" s="127">
        <v>700</v>
      </c>
      <c r="AB17" s="127">
        <v>0.8</v>
      </c>
      <c r="AD17" s="129">
        <f t="shared" si="15"/>
        <v>707.55151030205946</v>
      </c>
      <c r="AE17" s="127">
        <v>0.9</v>
      </c>
    </row>
    <row r="18" spans="2:31" x14ac:dyDescent="0.3">
      <c r="AA18" s="127">
        <v>700</v>
      </c>
      <c r="AB18" s="127">
        <v>0.9</v>
      </c>
      <c r="AD18" s="129">
        <f t="shared" si="15"/>
        <v>787.52750550109874</v>
      </c>
      <c r="AE18" s="127">
        <v>1</v>
      </c>
    </row>
    <row r="19" spans="2:31" x14ac:dyDescent="0.3">
      <c r="AA19" s="127">
        <v>800</v>
      </c>
      <c r="AB19" s="127">
        <v>0.9</v>
      </c>
      <c r="AD19" s="129"/>
    </row>
    <row r="20" spans="2:31" ht="15" thickBot="1" x14ac:dyDescent="0.35">
      <c r="AA20" s="127">
        <v>800</v>
      </c>
      <c r="AB20" s="127">
        <v>1</v>
      </c>
      <c r="AD20" s="130">
        <f>E21</f>
        <v>546</v>
      </c>
      <c r="AE20" s="128">
        <f>G21</f>
        <v>0.69799999999999995</v>
      </c>
    </row>
    <row r="21" spans="2:31" ht="15.6" x14ac:dyDescent="0.3">
      <c r="D21" s="62" t="s">
        <v>61</v>
      </c>
      <c r="E21" s="124">
        <f>M13/L13</f>
        <v>546</v>
      </c>
      <c r="F21" s="62" t="s">
        <v>62</v>
      </c>
      <c r="G21" s="126">
        <f>L14/L13</f>
        <v>0.69799999999999995</v>
      </c>
      <c r="I21" s="62" t="s">
        <v>69</v>
      </c>
      <c r="J21" s="91">
        <f>SQRT(N13/L13-E21*E21)</f>
        <v>143.12232530251876</v>
      </c>
      <c r="K21" s="62" t="s">
        <v>70</v>
      </c>
      <c r="L21" s="91">
        <f>SQRT(L15/L13-G21*G21)</f>
        <v>0.1414072133945089</v>
      </c>
      <c r="O21" s="107" t="s">
        <v>83</v>
      </c>
      <c r="P21" s="108"/>
      <c r="Q21" s="109"/>
    </row>
    <row r="22" spans="2:31" ht="15.6" x14ac:dyDescent="0.35">
      <c r="O22" s="112" t="s">
        <v>67</v>
      </c>
      <c r="P22" s="110">
        <f>F23*L21/J21</f>
        <v>7.80706893184927E-4</v>
      </c>
      <c r="Q22" s="111">
        <f>-F23*L21/J21*E21+G21</f>
        <v>0.27173403632102983</v>
      </c>
    </row>
    <row r="23" spans="2:31" ht="15.6" x14ac:dyDescent="0.35">
      <c r="E23" s="62" t="s">
        <v>65</v>
      </c>
      <c r="F23" s="91">
        <f>(V14-L13*E21*G21)/L13/J21/L21</f>
        <v>0.79017599774489877</v>
      </c>
      <c r="J23" s="62" t="s">
        <v>66</v>
      </c>
      <c r="K23" s="91">
        <f>F23*SQRT(98/(1-F23*F23))</f>
        <v>12.763254319894125</v>
      </c>
      <c r="O23" s="112" t="s">
        <v>68</v>
      </c>
      <c r="P23" s="106">
        <f>F23*J21/L21</f>
        <v>799.75995199039323</v>
      </c>
      <c r="Q23" s="111">
        <f>-F23*J21/L21*G21+E21</f>
        <v>-12.232446489294489</v>
      </c>
    </row>
    <row r="24" spans="2:31" ht="15" thickBot="1" x14ac:dyDescent="0.35"/>
    <row r="25" spans="2:31" x14ac:dyDescent="0.3">
      <c r="F25" s="102" t="s">
        <v>81</v>
      </c>
      <c r="G25" s="102"/>
      <c r="H25" s="102"/>
      <c r="I25" s="102"/>
      <c r="J25" s="102"/>
      <c r="K25" s="102"/>
      <c r="O25" s="107" t="s">
        <v>84</v>
      </c>
      <c r="P25" s="108"/>
      <c r="Q25" s="109"/>
    </row>
    <row r="26" spans="2:31" ht="15" thickBot="1" x14ac:dyDescent="0.35">
      <c r="F26" s="103"/>
      <c r="G26" s="103"/>
      <c r="H26" s="103"/>
      <c r="I26" s="103"/>
      <c r="J26" s="103"/>
      <c r="K26" s="103"/>
      <c r="O26" s="113" t="s">
        <v>85</v>
      </c>
      <c r="P26" s="114"/>
      <c r="Q26" s="115"/>
    </row>
    <row r="27" spans="2:31" ht="15.6" x14ac:dyDescent="0.35">
      <c r="F27" s="103"/>
      <c r="G27" s="104" t="s">
        <v>67</v>
      </c>
      <c r="H27" s="103" t="str">
        <f>ROUND(P22,5)&amp;" x + "&amp;ROUND(Q22,3)</f>
        <v>0,00078 x + 0,272</v>
      </c>
      <c r="I27" s="103"/>
      <c r="J27" s="103"/>
      <c r="K27" s="103"/>
      <c r="O27" s="116">
        <f>P22</f>
        <v>7.80706893184927E-4</v>
      </c>
      <c r="P27" s="117">
        <v>-1</v>
      </c>
      <c r="Q27" s="118">
        <f>-Q22</f>
        <v>-0.27173403632102983</v>
      </c>
    </row>
    <row r="28" spans="2:31" ht="15" thickBot="1" x14ac:dyDescent="0.35">
      <c r="F28" s="103"/>
      <c r="G28" s="103"/>
      <c r="H28" s="103"/>
      <c r="I28" s="103"/>
      <c r="J28" s="103"/>
      <c r="K28" s="103"/>
      <c r="O28" s="119">
        <v>-1</v>
      </c>
      <c r="P28" s="120">
        <f>P23</f>
        <v>799.75995199039323</v>
      </c>
      <c r="Q28" s="121">
        <f>-Q23</f>
        <v>12.232446489294489</v>
      </c>
    </row>
    <row r="29" spans="2:31" ht="16.2" thickBot="1" x14ac:dyDescent="0.4">
      <c r="F29" s="103"/>
      <c r="G29" s="104" t="s">
        <v>68</v>
      </c>
      <c r="H29" s="103" t="str">
        <f>ROUND(P23,2)&amp;" y - "&amp;-ROUND(Q23,3)</f>
        <v>799,76 y - 12,232</v>
      </c>
      <c r="I29" s="103"/>
      <c r="J29" s="103"/>
      <c r="K29" s="103"/>
    </row>
    <row r="30" spans="2:31" x14ac:dyDescent="0.3">
      <c r="F30" s="103"/>
      <c r="G30" s="103"/>
      <c r="H30" s="103"/>
      <c r="I30" s="103"/>
      <c r="J30" s="103"/>
      <c r="K30" s="103"/>
      <c r="O30" s="122">
        <f t="array" ref="O30:P31">MINVERSE(O27:P28)</f>
        <v>-2129.1622447254945</v>
      </c>
      <c r="P30" s="117">
        <v>-2.6622516411662862</v>
      </c>
      <c r="Q30" s="123">
        <f t="array" ref="Q30:Q31">MMULT(O30:P31,Q27:Q28)</f>
        <v>545.99999999999989</v>
      </c>
    </row>
    <row r="31" spans="2:31" ht="15" thickBot="1" x14ac:dyDescent="0.35">
      <c r="O31" s="119">
        <v>-2.6622516411662862</v>
      </c>
      <c r="P31" s="120">
        <v>-2.0784382076514045E-3</v>
      </c>
      <c r="Q31" s="125">
        <v>0.69799999999999995</v>
      </c>
    </row>
    <row r="35" spans="4:11" ht="15" x14ac:dyDescent="0.35">
      <c r="D35" s="101" t="s">
        <v>73</v>
      </c>
      <c r="E35" s="101" t="s">
        <v>74</v>
      </c>
      <c r="F35" s="101" t="s">
        <v>79</v>
      </c>
      <c r="I35" s="101" t="s">
        <v>75</v>
      </c>
      <c r="J35" s="101" t="s">
        <v>76</v>
      </c>
      <c r="K35" s="101" t="s">
        <v>80</v>
      </c>
    </row>
    <row r="36" spans="4:11" x14ac:dyDescent="0.3">
      <c r="D36" s="99">
        <f>P23*D5+Q23</f>
        <v>227.69553910782346</v>
      </c>
      <c r="E36" s="99">
        <f t="array" ref="E36:E43">TRANSPOSE(D17:K17)</f>
        <v>300</v>
      </c>
      <c r="F36" s="56">
        <f>ABS(D36-E36)</f>
        <v>72.304460892176536</v>
      </c>
      <c r="I36" s="100">
        <f t="shared" ref="I36:I41" si="20">$P$22*B7+$Q$22</f>
        <v>0.50594610427650788</v>
      </c>
      <c r="J36" s="100">
        <f t="shared" ref="J36:J41" si="21">P7</f>
        <v>0.43636363636363645</v>
      </c>
      <c r="K36" s="39">
        <f>ABS(I36-J36)</f>
        <v>6.9582467912871426E-2</v>
      </c>
    </row>
    <row r="37" spans="4:11" x14ac:dyDescent="0.3">
      <c r="D37" s="99">
        <f>E5*P23+Q23</f>
        <v>307.67153430686284</v>
      </c>
      <c r="E37" s="99">
        <v>300</v>
      </c>
      <c r="F37" s="56">
        <f t="shared" ref="F37:F43" si="22">ABS(D37-E37)</f>
        <v>7.6715343068628385</v>
      </c>
      <c r="I37" s="100">
        <f t="shared" si="20"/>
        <v>0.58401679359500069</v>
      </c>
      <c r="J37" s="100">
        <f t="shared" si="21"/>
        <v>0.61428571428571421</v>
      </c>
      <c r="K37" s="39">
        <f t="shared" ref="K37:K41" si="23">ABS(I37-J37)</f>
        <v>3.0268920690713519E-2</v>
      </c>
    </row>
    <row r="38" spans="4:11" x14ac:dyDescent="0.3">
      <c r="D38" s="99">
        <f>P23*F5+Q23</f>
        <v>387.64752950590213</v>
      </c>
      <c r="E38" s="99">
        <v>333.33333333333331</v>
      </c>
      <c r="F38" s="56">
        <f t="shared" si="22"/>
        <v>54.314196172568813</v>
      </c>
      <c r="I38" s="100">
        <f t="shared" si="20"/>
        <v>0.66208748291349329</v>
      </c>
      <c r="J38" s="100">
        <f t="shared" si="21"/>
        <v>0.71481481481481479</v>
      </c>
      <c r="K38" s="39">
        <f t="shared" si="23"/>
        <v>5.2727331901321506E-2</v>
      </c>
    </row>
    <row r="39" spans="4:11" x14ac:dyDescent="0.3">
      <c r="D39" s="99">
        <f>P23*G5+Q23</f>
        <v>467.62352470494142</v>
      </c>
      <c r="E39" s="99">
        <v>511.11111111111109</v>
      </c>
      <c r="F39" s="56">
        <f t="shared" si="22"/>
        <v>43.487586406169669</v>
      </c>
      <c r="I39" s="100">
        <f t="shared" si="20"/>
        <v>0.7401581722319861</v>
      </c>
      <c r="J39" s="100">
        <f t="shared" si="21"/>
        <v>0.70869565217391306</v>
      </c>
      <c r="K39" s="39">
        <f t="shared" si="23"/>
        <v>3.146252005807304E-2</v>
      </c>
    </row>
    <row r="40" spans="4:11" x14ac:dyDescent="0.3">
      <c r="D40" s="99">
        <f>P23*H5+Q23</f>
        <v>547.59951990398076</v>
      </c>
      <c r="E40" s="99">
        <v>543.75</v>
      </c>
      <c r="F40" s="56">
        <f t="shared" si="22"/>
        <v>3.849519903980763</v>
      </c>
      <c r="I40" s="100">
        <f t="shared" si="20"/>
        <v>0.81822886155047869</v>
      </c>
      <c r="J40" s="100">
        <f t="shared" si="21"/>
        <v>0.77499999999999991</v>
      </c>
      <c r="K40" s="39">
        <f t="shared" si="23"/>
        <v>4.3228861550478781E-2</v>
      </c>
    </row>
    <row r="41" spans="4:11" x14ac:dyDescent="0.3">
      <c r="D41" s="99">
        <f>P23*I5+Q23</f>
        <v>627.57551510302017</v>
      </c>
      <c r="E41" s="99">
        <v>591.66666666666663</v>
      </c>
      <c r="F41" s="56">
        <f t="shared" si="22"/>
        <v>35.908848436353537</v>
      </c>
      <c r="I41" s="100">
        <f t="shared" si="20"/>
        <v>0.89629955086897151</v>
      </c>
      <c r="J41" s="100">
        <f t="shared" si="21"/>
        <v>0.93333333333333335</v>
      </c>
      <c r="K41" s="39">
        <f t="shared" si="23"/>
        <v>3.7033782464361842E-2</v>
      </c>
    </row>
    <row r="42" spans="4:11" x14ac:dyDescent="0.3">
      <c r="D42" s="99">
        <f>J5*P23+Q23</f>
        <v>707.55151030205946</v>
      </c>
      <c r="E42" s="99">
        <v>766.66666666666663</v>
      </c>
      <c r="F42" s="56">
        <f t="shared" si="22"/>
        <v>59.115156364607174</v>
      </c>
    </row>
    <row r="43" spans="4:11" x14ac:dyDescent="0.3">
      <c r="D43" s="99">
        <f>K5*P23+Q23</f>
        <v>787.52750550109874</v>
      </c>
      <c r="E43" s="99">
        <v>800</v>
      </c>
      <c r="F43" s="56">
        <f t="shared" si="22"/>
        <v>12.472494498901256</v>
      </c>
    </row>
  </sheetData>
  <mergeCells count="10">
    <mergeCell ref="P5:P6"/>
    <mergeCell ref="B14:C14"/>
    <mergeCell ref="B15:C15"/>
    <mergeCell ref="B17:C17"/>
    <mergeCell ref="L5:L6"/>
    <mergeCell ref="M5:M6"/>
    <mergeCell ref="B13:C13"/>
    <mergeCell ref="N5:N6"/>
    <mergeCell ref="O5:O6"/>
    <mergeCell ref="B16:C16"/>
  </mergeCells>
  <pageMargins left="0.7" right="0.7" top="0.75" bottom="0.75" header="0.3" footer="0.3"/>
  <pageSetup paperSize="9" orientation="portrait" horizontalDpi="300" verticalDpi="300" r:id="rId1"/>
  <ignoredErrors>
    <ignoredError sqref="L7:L12 D13:K13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P41"/>
  <sheetViews>
    <sheetView zoomScale="110" zoomScaleNormal="110" workbookViewId="0">
      <selection activeCell="I19" sqref="I19"/>
    </sheetView>
  </sheetViews>
  <sheetFormatPr defaultRowHeight="14.4" x14ac:dyDescent="0.3"/>
  <cols>
    <col min="5" max="5" width="9.6640625" bestFit="1" customWidth="1"/>
    <col min="10" max="10" width="16.5546875" customWidth="1"/>
    <col min="13" max="13" width="14.33203125" customWidth="1"/>
    <col min="15" max="15" width="9" bestFit="1" customWidth="1"/>
    <col min="16" max="16" width="9.6640625" bestFit="1" customWidth="1"/>
  </cols>
  <sheetData>
    <row r="4" spans="4:16" ht="45" customHeight="1" x14ac:dyDescent="0.3">
      <c r="D4" s="19" t="s">
        <v>0</v>
      </c>
      <c r="E4" s="22" t="s">
        <v>1</v>
      </c>
      <c r="F4" s="23" t="s">
        <v>2</v>
      </c>
      <c r="G4" s="20" t="s">
        <v>3</v>
      </c>
      <c r="H4" s="11" t="s">
        <v>4</v>
      </c>
      <c r="I4" s="11" t="s">
        <v>5</v>
      </c>
      <c r="J4" s="17"/>
      <c r="K4" s="11" t="s">
        <v>10</v>
      </c>
      <c r="L4" s="11" t="s">
        <v>7</v>
      </c>
      <c r="M4" s="11" t="s">
        <v>8</v>
      </c>
      <c r="O4" s="11" t="s">
        <v>17</v>
      </c>
      <c r="P4" s="11" t="s">
        <v>18</v>
      </c>
    </row>
    <row r="5" spans="4:16" x14ac:dyDescent="0.3">
      <c r="D5" s="12">
        <v>1</v>
      </c>
      <c r="E5" s="21">
        <v>2</v>
      </c>
      <c r="F5" s="21"/>
      <c r="G5" s="12">
        <v>3</v>
      </c>
      <c r="H5" s="12">
        <v>4</v>
      </c>
      <c r="I5" s="12">
        <v>5</v>
      </c>
      <c r="J5" s="12">
        <v>6</v>
      </c>
      <c r="K5" s="12">
        <v>7</v>
      </c>
      <c r="L5" s="12">
        <v>8</v>
      </c>
      <c r="M5" s="12">
        <v>9</v>
      </c>
      <c r="O5" s="164" t="s">
        <v>16</v>
      </c>
      <c r="P5" s="164"/>
    </row>
    <row r="6" spans="4:16" x14ac:dyDescent="0.3">
      <c r="D6" s="13">
        <v>1</v>
      </c>
      <c r="E6" s="13">
        <v>0</v>
      </c>
      <c r="F6" s="13">
        <v>325</v>
      </c>
      <c r="G6" s="13">
        <f>(E6+F6)/2</f>
        <v>162.5</v>
      </c>
      <c r="H6" s="13">
        <v>41</v>
      </c>
      <c r="I6" s="13">
        <f>H6/$H$15</f>
        <v>0.41</v>
      </c>
      <c r="J6" s="13">
        <f>(G6-$G$9)/$F$6</f>
        <v>-3</v>
      </c>
      <c r="K6" s="13">
        <f>J6*H6</f>
        <v>-123</v>
      </c>
      <c r="L6" s="13">
        <f>J6*J6*H6</f>
        <v>369</v>
      </c>
      <c r="M6" s="13">
        <f>(J6+1)^2*H6</f>
        <v>164</v>
      </c>
      <c r="O6" s="28">
        <f t="shared" ref="O6:O13" si="0">G6*H6</f>
        <v>6662.5</v>
      </c>
      <c r="P6" s="28">
        <f>G6*G6*H6</f>
        <v>1082656.25</v>
      </c>
    </row>
    <row r="7" spans="4:16" x14ac:dyDescent="0.3">
      <c r="D7" s="13">
        <v>2</v>
      </c>
      <c r="E7" s="13">
        <f>F6</f>
        <v>325</v>
      </c>
      <c r="F7" s="13">
        <f>E7+325</f>
        <v>650</v>
      </c>
      <c r="G7" s="13">
        <f t="shared" ref="G7:G13" si="1">(E7+F7)/2</f>
        <v>487.5</v>
      </c>
      <c r="H7" s="13">
        <v>30</v>
      </c>
      <c r="I7" s="13">
        <f t="shared" ref="I7:I13" si="2">H7/$H$15</f>
        <v>0.3</v>
      </c>
      <c r="J7" s="13">
        <f t="shared" ref="J7:J13" si="3">(G7-$G$9)/$F$6</f>
        <v>-2</v>
      </c>
      <c r="K7" s="13">
        <f t="shared" ref="K7:K13" si="4">J7*H7</f>
        <v>-60</v>
      </c>
      <c r="L7" s="13">
        <f t="shared" ref="L7:L13" si="5">J7*J7*H7</f>
        <v>120</v>
      </c>
      <c r="M7" s="13">
        <f t="shared" ref="M7:M13" si="6">(J7+1)^2*H7</f>
        <v>30</v>
      </c>
      <c r="O7" s="28">
        <f t="shared" si="0"/>
        <v>14625</v>
      </c>
      <c r="P7" s="28">
        <f t="shared" ref="P7:P13" si="7">G7*G7*H7</f>
        <v>7129687.5</v>
      </c>
    </row>
    <row r="8" spans="4:16" x14ac:dyDescent="0.3">
      <c r="D8" s="13">
        <v>3</v>
      </c>
      <c r="E8" s="13">
        <f t="shared" ref="E8:E13" si="8">F7</f>
        <v>650</v>
      </c>
      <c r="F8" s="13">
        <f t="shared" ref="F8:F13" si="9">E8+325</f>
        <v>975</v>
      </c>
      <c r="G8" s="13">
        <f t="shared" si="1"/>
        <v>812.5</v>
      </c>
      <c r="H8" s="13">
        <v>12</v>
      </c>
      <c r="I8" s="13">
        <f t="shared" si="2"/>
        <v>0.12</v>
      </c>
      <c r="J8" s="13">
        <f t="shared" si="3"/>
        <v>-1</v>
      </c>
      <c r="K8" s="13">
        <f t="shared" si="4"/>
        <v>-12</v>
      </c>
      <c r="L8" s="13">
        <f t="shared" si="5"/>
        <v>12</v>
      </c>
      <c r="M8" s="13">
        <f t="shared" si="6"/>
        <v>0</v>
      </c>
      <c r="O8" s="28">
        <f t="shared" si="0"/>
        <v>9750</v>
      </c>
      <c r="P8" s="28">
        <f t="shared" si="7"/>
        <v>7921875</v>
      </c>
    </row>
    <row r="9" spans="4:16" x14ac:dyDescent="0.3">
      <c r="D9" s="13">
        <v>4</v>
      </c>
      <c r="E9" s="13">
        <f t="shared" si="8"/>
        <v>975</v>
      </c>
      <c r="F9" s="13">
        <f t="shared" si="9"/>
        <v>1300</v>
      </c>
      <c r="G9" s="13">
        <f t="shared" si="1"/>
        <v>1137.5</v>
      </c>
      <c r="H9" s="13">
        <v>7</v>
      </c>
      <c r="I9" s="13">
        <f t="shared" si="2"/>
        <v>7.0000000000000007E-2</v>
      </c>
      <c r="J9" s="13">
        <f t="shared" si="3"/>
        <v>0</v>
      </c>
      <c r="K9" s="13">
        <f t="shared" si="4"/>
        <v>0</v>
      </c>
      <c r="L9" s="13">
        <f t="shared" si="5"/>
        <v>0</v>
      </c>
      <c r="M9" s="13">
        <f t="shared" si="6"/>
        <v>7</v>
      </c>
      <c r="O9" s="28">
        <f t="shared" si="0"/>
        <v>7962.5</v>
      </c>
      <c r="P9" s="28">
        <f t="shared" si="7"/>
        <v>9057343.75</v>
      </c>
    </row>
    <row r="10" spans="4:16" x14ac:dyDescent="0.3">
      <c r="D10" s="13">
        <v>5</v>
      </c>
      <c r="E10" s="13">
        <f t="shared" si="8"/>
        <v>1300</v>
      </c>
      <c r="F10" s="13">
        <f t="shared" si="9"/>
        <v>1625</v>
      </c>
      <c r="G10" s="13">
        <f t="shared" si="1"/>
        <v>1462.5</v>
      </c>
      <c r="H10" s="13">
        <v>4</v>
      </c>
      <c r="I10" s="13">
        <f t="shared" si="2"/>
        <v>0.04</v>
      </c>
      <c r="J10" s="13">
        <f t="shared" si="3"/>
        <v>1</v>
      </c>
      <c r="K10" s="13">
        <f t="shared" si="4"/>
        <v>4</v>
      </c>
      <c r="L10" s="13">
        <f t="shared" si="5"/>
        <v>4</v>
      </c>
      <c r="M10" s="13">
        <f t="shared" si="6"/>
        <v>16</v>
      </c>
      <c r="O10" s="28">
        <f t="shared" si="0"/>
        <v>5850</v>
      </c>
      <c r="P10" s="28">
        <f t="shared" si="7"/>
        <v>8555625</v>
      </c>
    </row>
    <row r="11" spans="4:16" x14ac:dyDescent="0.3">
      <c r="D11" s="13">
        <v>6</v>
      </c>
      <c r="E11" s="13">
        <f t="shared" si="8"/>
        <v>1625</v>
      </c>
      <c r="F11" s="13">
        <f t="shared" si="9"/>
        <v>1950</v>
      </c>
      <c r="G11" s="13">
        <f t="shared" si="1"/>
        <v>1787.5</v>
      </c>
      <c r="H11" s="13">
        <v>3</v>
      </c>
      <c r="I11" s="13">
        <f t="shared" si="2"/>
        <v>0.03</v>
      </c>
      <c r="J11" s="13">
        <f t="shared" si="3"/>
        <v>2</v>
      </c>
      <c r="K11" s="13">
        <f t="shared" si="4"/>
        <v>6</v>
      </c>
      <c r="L11" s="13">
        <f t="shared" si="5"/>
        <v>12</v>
      </c>
      <c r="M11" s="13">
        <f t="shared" si="6"/>
        <v>27</v>
      </c>
      <c r="O11" s="28">
        <f t="shared" si="0"/>
        <v>5362.5</v>
      </c>
      <c r="P11" s="28">
        <f t="shared" si="7"/>
        <v>9585468.75</v>
      </c>
    </row>
    <row r="12" spans="4:16" x14ac:dyDescent="0.3">
      <c r="D12" s="13">
        <v>7</v>
      </c>
      <c r="E12" s="13">
        <f t="shared" si="8"/>
        <v>1950</v>
      </c>
      <c r="F12" s="13">
        <f t="shared" si="9"/>
        <v>2275</v>
      </c>
      <c r="G12" s="13">
        <f t="shared" si="1"/>
        <v>2112.5</v>
      </c>
      <c r="H12" s="13">
        <v>2</v>
      </c>
      <c r="I12" s="13">
        <f t="shared" si="2"/>
        <v>0.02</v>
      </c>
      <c r="J12" s="13">
        <f t="shared" si="3"/>
        <v>3</v>
      </c>
      <c r="K12" s="13">
        <f t="shared" si="4"/>
        <v>6</v>
      </c>
      <c r="L12" s="13">
        <f t="shared" si="5"/>
        <v>18</v>
      </c>
      <c r="M12" s="13">
        <f t="shared" si="6"/>
        <v>32</v>
      </c>
      <c r="O12" s="28">
        <f t="shared" si="0"/>
        <v>4225</v>
      </c>
      <c r="P12" s="28">
        <f t="shared" si="7"/>
        <v>8925312.5</v>
      </c>
    </row>
    <row r="13" spans="4:16" x14ac:dyDescent="0.3">
      <c r="D13" s="13">
        <v>8</v>
      </c>
      <c r="E13" s="13">
        <f t="shared" si="8"/>
        <v>2275</v>
      </c>
      <c r="F13" s="13">
        <f t="shared" si="9"/>
        <v>2600</v>
      </c>
      <c r="G13" s="13">
        <f t="shared" si="1"/>
        <v>2437.5</v>
      </c>
      <c r="H13" s="13">
        <v>1</v>
      </c>
      <c r="I13" s="13">
        <f t="shared" si="2"/>
        <v>0.01</v>
      </c>
      <c r="J13" s="13">
        <f t="shared" si="3"/>
        <v>4</v>
      </c>
      <c r="K13" s="13">
        <f t="shared" si="4"/>
        <v>4</v>
      </c>
      <c r="L13" s="13">
        <f t="shared" si="5"/>
        <v>16</v>
      </c>
      <c r="M13" s="13">
        <f t="shared" si="6"/>
        <v>25</v>
      </c>
      <c r="O13" s="28">
        <f t="shared" si="0"/>
        <v>2437.5</v>
      </c>
      <c r="P13" s="28">
        <f t="shared" si="7"/>
        <v>5941406.25</v>
      </c>
    </row>
    <row r="14" spans="4:16" x14ac:dyDescent="0.3">
      <c r="D14" s="13">
        <v>9</v>
      </c>
      <c r="E14" s="14">
        <f>F13</f>
        <v>2600</v>
      </c>
      <c r="F14" s="15"/>
      <c r="G14" s="17"/>
      <c r="H14" s="17"/>
      <c r="I14" s="13"/>
      <c r="J14" s="17"/>
      <c r="K14" s="17"/>
      <c r="L14" s="17"/>
      <c r="M14" s="13"/>
      <c r="O14" s="17"/>
      <c r="P14" s="17"/>
    </row>
    <row r="15" spans="4:16" x14ac:dyDescent="0.3">
      <c r="D15" s="14" t="s">
        <v>9</v>
      </c>
      <c r="E15" s="16"/>
      <c r="F15" s="15"/>
      <c r="G15" s="17"/>
      <c r="H15" s="18">
        <f>SUM(H6:H13)</f>
        <v>100</v>
      </c>
      <c r="I15" s="18">
        <f>SUM(I6:I13)</f>
        <v>1</v>
      </c>
      <c r="J15" s="17"/>
      <c r="K15" s="18">
        <f>SUM(K6:K13)</f>
        <v>-175</v>
      </c>
      <c r="L15" s="18">
        <f>SUM(L6:L13)</f>
        <v>551</v>
      </c>
      <c r="M15" s="18">
        <f>SUM(M6:M13)</f>
        <v>301</v>
      </c>
      <c r="O15" s="29">
        <f>SUM(O6:O13)</f>
        <v>56875</v>
      </c>
      <c r="P15" s="29">
        <f>SUM(P6:P13)</f>
        <v>58199375</v>
      </c>
    </row>
    <row r="17" spans="4:16" x14ac:dyDescent="0.3">
      <c r="D17" s="24" t="s">
        <v>11</v>
      </c>
      <c r="E17" s="1">
        <f>K15/H15</f>
        <v>-1.75</v>
      </c>
    </row>
    <row r="18" spans="4:16" ht="16.2" x14ac:dyDescent="0.3">
      <c r="D18" s="25" t="s">
        <v>13</v>
      </c>
      <c r="E18" s="10">
        <f>L15/H15-E17*E17</f>
        <v>2.4474999999999998</v>
      </c>
    </row>
    <row r="19" spans="4:16" ht="15.6" x14ac:dyDescent="0.35">
      <c r="D19" s="30" t="s">
        <v>12</v>
      </c>
      <c r="E19" s="31">
        <f>E17*F6+G9</f>
        <v>568.75</v>
      </c>
      <c r="O19" s="30" t="s">
        <v>12</v>
      </c>
      <c r="P19" s="33">
        <f>O15/H15</f>
        <v>568.75</v>
      </c>
    </row>
    <row r="20" spans="4:16" ht="15.6" x14ac:dyDescent="0.35">
      <c r="D20" s="30" t="s">
        <v>14</v>
      </c>
      <c r="E20" s="32">
        <f>SQRT(E18)*F6</f>
        <v>508.44585503276545</v>
      </c>
      <c r="O20" s="30" t="s">
        <v>14</v>
      </c>
      <c r="P20" s="34">
        <f>SQRT(P15/H15-P19*P19)</f>
        <v>508.44585503276551</v>
      </c>
    </row>
    <row r="21" spans="4:16" x14ac:dyDescent="0.3">
      <c r="D21" s="26" t="s">
        <v>15</v>
      </c>
      <c r="E21" s="27">
        <f>1/E19</f>
        <v>1.7582417582417582E-3</v>
      </c>
    </row>
    <row r="24" spans="4:16" ht="33.6" customHeight="1" x14ac:dyDescent="0.3">
      <c r="D24" s="19" t="s">
        <v>0</v>
      </c>
      <c r="E24" s="38" t="s">
        <v>19</v>
      </c>
      <c r="F24" s="165"/>
      <c r="G24" s="165"/>
      <c r="H24" s="11" t="s">
        <v>20</v>
      </c>
      <c r="I24" s="11" t="s">
        <v>4</v>
      </c>
      <c r="J24" s="11" t="s">
        <v>21</v>
      </c>
      <c r="K24" s="167" t="s">
        <v>22</v>
      </c>
      <c r="L24" s="168"/>
    </row>
    <row r="25" spans="4:16" ht="13.2" customHeight="1" x14ac:dyDescent="0.3">
      <c r="D25" s="13">
        <v>1</v>
      </c>
      <c r="E25" s="39">
        <f>-$E$21*E6</f>
        <v>0</v>
      </c>
      <c r="F25" s="166">
        <f>EXP(E25)</f>
        <v>1</v>
      </c>
      <c r="G25" s="166"/>
      <c r="H25" s="49">
        <f>F25-F26</f>
        <v>0.43528187799224072</v>
      </c>
      <c r="I25" s="13">
        <f>H6</f>
        <v>41</v>
      </c>
      <c r="J25" s="39">
        <f>H25*$H$15</f>
        <v>43.528187799224071</v>
      </c>
      <c r="K25" s="150">
        <f>(I25-J25)^2/J25</f>
        <v>0.14684125095277661</v>
      </c>
      <c r="L25" s="150"/>
    </row>
    <row r="26" spans="4:16" ht="13.2" customHeight="1" x14ac:dyDescent="0.3">
      <c r="D26" s="13">
        <v>2</v>
      </c>
      <c r="E26" s="39">
        <f t="shared" ref="E26:E33" si="10">-$E$21*E7</f>
        <v>-0.5714285714285714</v>
      </c>
      <c r="F26" s="166">
        <f t="shared" ref="F26:F33" si="11">EXP(E26)</f>
        <v>0.56471812200775928</v>
      </c>
      <c r="G26" s="166"/>
      <c r="H26" s="49">
        <f t="shared" ref="H26:H32" si="12">F26-F27</f>
        <v>0.24581156468378884</v>
      </c>
      <c r="I26" s="13">
        <f t="shared" ref="I26:I32" si="13">H7</f>
        <v>30</v>
      </c>
      <c r="J26" s="39">
        <f t="shared" ref="J26:J32" si="14">H26*$H$15</f>
        <v>24.581156468378886</v>
      </c>
      <c r="K26" s="150">
        <f t="shared" ref="K26:K28" si="15">(I26-J26)^2/J26</f>
        <v>1.1945680935706</v>
      </c>
      <c r="L26" s="150"/>
    </row>
    <row r="27" spans="4:16" ht="13.2" customHeight="1" x14ac:dyDescent="0.3">
      <c r="D27" s="13">
        <v>3</v>
      </c>
      <c r="E27" s="39">
        <f t="shared" si="10"/>
        <v>-1.1428571428571428</v>
      </c>
      <c r="F27" s="166">
        <f t="shared" si="11"/>
        <v>0.31890655732397044</v>
      </c>
      <c r="G27" s="166"/>
      <c r="H27" s="49">
        <f t="shared" si="12"/>
        <v>0.13881424517601804</v>
      </c>
      <c r="I27" s="13">
        <f t="shared" si="13"/>
        <v>12</v>
      </c>
      <c r="J27" s="39">
        <f t="shared" si="14"/>
        <v>13.881424517601804</v>
      </c>
      <c r="K27" s="150">
        <f t="shared" si="15"/>
        <v>0.2549996371730241</v>
      </c>
      <c r="L27" s="150"/>
    </row>
    <row r="28" spans="4:16" ht="13.2" customHeight="1" x14ac:dyDescent="0.3">
      <c r="D28" s="13">
        <v>4</v>
      </c>
      <c r="E28" s="39">
        <f t="shared" si="10"/>
        <v>-1.7142857142857142</v>
      </c>
      <c r="F28" s="166">
        <f t="shared" si="11"/>
        <v>0.1800923121479524</v>
      </c>
      <c r="G28" s="166"/>
      <c r="H28" s="49">
        <f t="shared" si="12"/>
        <v>7.8390919843725565E-2</v>
      </c>
      <c r="I28" s="13">
        <f t="shared" si="13"/>
        <v>7</v>
      </c>
      <c r="J28" s="39">
        <f t="shared" si="14"/>
        <v>7.8390919843725566</v>
      </c>
      <c r="K28" s="150">
        <f t="shared" si="15"/>
        <v>8.981593271795614E-2</v>
      </c>
      <c r="L28" s="150"/>
    </row>
    <row r="29" spans="4:16" ht="13.2" customHeight="1" x14ac:dyDescent="0.3">
      <c r="D29" s="13">
        <v>5</v>
      </c>
      <c r="E29" s="39">
        <f t="shared" si="10"/>
        <v>-2.2857142857142856</v>
      </c>
      <c r="F29" s="166">
        <f t="shared" si="11"/>
        <v>0.10170139230422684</v>
      </c>
      <c r="G29" s="166"/>
      <c r="H29" s="49">
        <f t="shared" si="12"/>
        <v>4.4268773036609491E-2</v>
      </c>
      <c r="I29" s="13">
        <f t="shared" si="13"/>
        <v>4</v>
      </c>
      <c r="J29" s="39">
        <f t="shared" si="14"/>
        <v>4.426877303660949</v>
      </c>
      <c r="K29" s="169">
        <f>((I29+I30+I31+I32)-(J29+J30+J31+J32))^2/(J29+J30+J31+J32)</f>
        <v>8.1744563019707242E-2</v>
      </c>
      <c r="L29" s="169"/>
    </row>
    <row r="30" spans="4:16" ht="13.2" customHeight="1" x14ac:dyDescent="0.3">
      <c r="D30" s="13">
        <v>6</v>
      </c>
      <c r="E30" s="39">
        <f t="shared" si="10"/>
        <v>-2.8571428571428572</v>
      </c>
      <c r="F30" s="166">
        <f t="shared" si="11"/>
        <v>5.7432619267617349E-2</v>
      </c>
      <c r="G30" s="166"/>
      <c r="H30" s="49">
        <f t="shared" si="12"/>
        <v>2.4999378372821825E-2</v>
      </c>
      <c r="I30" s="13">
        <f t="shared" si="13"/>
        <v>3</v>
      </c>
      <c r="J30" s="39">
        <f t="shared" si="14"/>
        <v>2.4999378372821823</v>
      </c>
      <c r="K30" s="169"/>
      <c r="L30" s="169"/>
    </row>
    <row r="31" spans="4:16" ht="13.2" customHeight="1" x14ac:dyDescent="0.3">
      <c r="D31" s="13">
        <v>7</v>
      </c>
      <c r="E31" s="39">
        <f t="shared" si="10"/>
        <v>-3.4285714285714284</v>
      </c>
      <c r="F31" s="166">
        <f t="shared" si="11"/>
        <v>3.2433240894795524E-2</v>
      </c>
      <c r="G31" s="166"/>
      <c r="H31" s="49">
        <f t="shared" si="12"/>
        <v>1.4117602006061346E-2</v>
      </c>
      <c r="I31" s="13">
        <f t="shared" si="13"/>
        <v>2</v>
      </c>
      <c r="J31" s="39">
        <f t="shared" si="14"/>
        <v>1.4117602006061345</v>
      </c>
      <c r="K31" s="169"/>
      <c r="L31" s="169"/>
    </row>
    <row r="32" spans="4:16" ht="13.2" customHeight="1" x14ac:dyDescent="0.3">
      <c r="D32" s="13">
        <v>8</v>
      </c>
      <c r="E32" s="39">
        <f t="shared" si="10"/>
        <v>-4</v>
      </c>
      <c r="F32" s="166">
        <f t="shared" si="11"/>
        <v>1.8315638888734179E-2</v>
      </c>
      <c r="G32" s="166"/>
      <c r="H32" s="49">
        <f t="shared" si="12"/>
        <v>7.9724656921159286E-3</v>
      </c>
      <c r="I32" s="13">
        <f t="shared" si="13"/>
        <v>1</v>
      </c>
      <c r="J32" s="39">
        <f t="shared" si="14"/>
        <v>0.79724656921159287</v>
      </c>
      <c r="K32" s="169"/>
      <c r="L32" s="169"/>
    </row>
    <row r="33" spans="4:12" ht="13.2" customHeight="1" x14ac:dyDescent="0.3">
      <c r="D33" s="13">
        <v>9</v>
      </c>
      <c r="E33" s="40">
        <f t="shared" si="10"/>
        <v>-4.5714285714285712</v>
      </c>
      <c r="F33" s="172">
        <f t="shared" si="11"/>
        <v>1.034317319661825E-2</v>
      </c>
      <c r="G33" s="172"/>
      <c r="H33" s="41"/>
      <c r="I33" s="42"/>
      <c r="J33" s="42"/>
      <c r="K33" s="151"/>
      <c r="L33" s="151"/>
    </row>
    <row r="34" spans="4:12" x14ac:dyDescent="0.3">
      <c r="D34" s="14" t="s">
        <v>9</v>
      </c>
      <c r="E34" s="14"/>
      <c r="F34" s="16"/>
      <c r="G34" s="15"/>
      <c r="H34" s="43"/>
      <c r="I34" s="13">
        <f>SUM(I25:I32)</f>
        <v>100</v>
      </c>
      <c r="J34" s="39">
        <f>SUM(J25:J32)</f>
        <v>98.965682680338176</v>
      </c>
      <c r="K34" s="170">
        <f>SUM(K25:L32)</f>
        <v>1.7679694774340642</v>
      </c>
      <c r="L34" s="171"/>
    </row>
    <row r="37" spans="4:12" ht="21" x14ac:dyDescent="0.3">
      <c r="E37" s="145" t="s">
        <v>23</v>
      </c>
      <c r="F37" s="145"/>
      <c r="G37" s="47">
        <f>K34</f>
        <v>1.7679694774340642</v>
      </c>
    </row>
    <row r="38" spans="4:12" ht="21" x14ac:dyDescent="0.3">
      <c r="E38" s="145" t="s">
        <v>24</v>
      </c>
      <c r="F38" s="145"/>
      <c r="G38" s="48">
        <f>_xlfn.CHISQ.INV(0.95,3)</f>
        <v>7.8147279032511774</v>
      </c>
    </row>
    <row r="41" spans="4:12" ht="21" x14ac:dyDescent="0.3">
      <c r="F41" s="145" t="s">
        <v>23</v>
      </c>
      <c r="G41" s="145"/>
      <c r="H41" s="50" t="s">
        <v>25</v>
      </c>
      <c r="I41" s="145" t="s">
        <v>24</v>
      </c>
      <c r="J41" s="145"/>
    </row>
  </sheetData>
  <mergeCells count="23">
    <mergeCell ref="E38:F38"/>
    <mergeCell ref="F41:G41"/>
    <mergeCell ref="I41:J41"/>
    <mergeCell ref="F28:G28"/>
    <mergeCell ref="K29:L32"/>
    <mergeCell ref="K34:L34"/>
    <mergeCell ref="E37:F37"/>
    <mergeCell ref="K28:L28"/>
    <mergeCell ref="F29:G29"/>
    <mergeCell ref="F30:G30"/>
    <mergeCell ref="F31:G31"/>
    <mergeCell ref="F32:G32"/>
    <mergeCell ref="F33:G33"/>
    <mergeCell ref="K33:L33"/>
    <mergeCell ref="O5:P5"/>
    <mergeCell ref="F24:G24"/>
    <mergeCell ref="F25:G25"/>
    <mergeCell ref="F26:G26"/>
    <mergeCell ref="F27:G27"/>
    <mergeCell ref="K24:L24"/>
    <mergeCell ref="K25:L25"/>
    <mergeCell ref="K26:L26"/>
    <mergeCell ref="K27:L27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5</xdr:col>
                <xdr:colOff>342900</xdr:colOff>
                <xdr:row>23</xdr:row>
                <xdr:rowOff>45720</xdr:rowOff>
              </from>
              <to>
                <xdr:col>6</xdr:col>
                <xdr:colOff>297180</xdr:colOff>
                <xdr:row>23</xdr:row>
                <xdr:rowOff>373380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8"/>
  <sheetViews>
    <sheetView workbookViewId="0">
      <selection activeCell="H20" sqref="H20"/>
    </sheetView>
  </sheetViews>
  <sheetFormatPr defaultRowHeight="14.4" x14ac:dyDescent="0.3"/>
  <cols>
    <col min="5" max="5" width="9.109375" bestFit="1" customWidth="1"/>
    <col min="13" max="13" width="11.6640625" customWidth="1"/>
    <col min="19" max="19" width="11" bestFit="1" customWidth="1"/>
  </cols>
  <sheetData>
    <row r="4" spans="4:18" ht="20.399999999999999" x14ac:dyDescent="0.3">
      <c r="D4" s="5" t="s">
        <v>0</v>
      </c>
      <c r="E4" s="6" t="s">
        <v>1</v>
      </c>
      <c r="F4" s="7" t="s">
        <v>2</v>
      </c>
      <c r="G4" s="5" t="s">
        <v>3</v>
      </c>
      <c r="H4" s="5" t="s">
        <v>4</v>
      </c>
      <c r="I4" s="5" t="s">
        <v>5</v>
      </c>
      <c r="J4" s="8"/>
      <c r="K4" s="5" t="s">
        <v>6</v>
      </c>
      <c r="L4" s="5" t="s">
        <v>7</v>
      </c>
      <c r="M4" s="5" t="s">
        <v>8</v>
      </c>
    </row>
    <row r="5" spans="4:18" x14ac:dyDescent="0.3">
      <c r="D5" s="3">
        <v>1</v>
      </c>
      <c r="E5" s="4">
        <v>2</v>
      </c>
      <c r="F5" s="4"/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</row>
    <row r="6" spans="4:18" x14ac:dyDescent="0.3">
      <c r="D6" s="1">
        <v>1</v>
      </c>
      <c r="E6" s="1">
        <v>0</v>
      </c>
      <c r="F6" s="1">
        <v>342</v>
      </c>
      <c r="G6" s="1">
        <f>(E6+F6)/2</f>
        <v>171</v>
      </c>
      <c r="H6" s="1">
        <v>40</v>
      </c>
      <c r="I6" s="10">
        <f>H6/$H$15</f>
        <v>0.4</v>
      </c>
      <c r="J6" s="1">
        <f>(G6-$G$9)/$F$6</f>
        <v>-3</v>
      </c>
      <c r="K6" s="1">
        <f>J6*H6</f>
        <v>-120</v>
      </c>
      <c r="L6" s="1">
        <f>J6*J6*H6</f>
        <v>360</v>
      </c>
      <c r="M6" s="1">
        <f>(J6+1)^2*H6</f>
        <v>160</v>
      </c>
      <c r="Q6">
        <f>G6*H6</f>
        <v>6840</v>
      </c>
      <c r="R6">
        <f>G6*G6*H6</f>
        <v>1169640</v>
      </c>
    </row>
    <row r="7" spans="4:18" x14ac:dyDescent="0.3">
      <c r="D7" s="1">
        <v>2</v>
      </c>
      <c r="E7" s="1">
        <f>F6</f>
        <v>342</v>
      </c>
      <c r="F7" s="1">
        <f>E7+342</f>
        <v>684</v>
      </c>
      <c r="G7" s="1">
        <f t="shared" ref="G7:G13" si="0">(E7+F7)/2</f>
        <v>513</v>
      </c>
      <c r="H7" s="1">
        <v>26</v>
      </c>
      <c r="I7" s="10">
        <f t="shared" ref="I7:I13" si="1">H7/$H$15</f>
        <v>0.26</v>
      </c>
      <c r="J7" s="1">
        <f t="shared" ref="J7:J13" si="2">(G7-$G$9)/$F$6</f>
        <v>-2</v>
      </c>
      <c r="K7" s="1">
        <f t="shared" ref="K7:K13" si="3">J7*H7</f>
        <v>-52</v>
      </c>
      <c r="L7" s="1">
        <f t="shared" ref="L7:L13" si="4">J7*J7*H7</f>
        <v>104</v>
      </c>
      <c r="M7" s="1">
        <f t="shared" ref="M7:M13" si="5">(J7+1)^2*H7</f>
        <v>26</v>
      </c>
      <c r="Q7">
        <f t="shared" ref="Q7:Q13" si="6">G7*H7</f>
        <v>13338</v>
      </c>
      <c r="R7">
        <f t="shared" ref="R7:R13" si="7">G7*G7*H7</f>
        <v>6842394</v>
      </c>
    </row>
    <row r="8" spans="4:18" x14ac:dyDescent="0.3">
      <c r="D8" s="1">
        <v>3</v>
      </c>
      <c r="E8" s="1">
        <f t="shared" ref="E8:E13" si="8">F7</f>
        <v>684</v>
      </c>
      <c r="F8" s="1">
        <f t="shared" ref="F8:F13" si="9">E8+342</f>
        <v>1026</v>
      </c>
      <c r="G8" s="1">
        <f t="shared" si="0"/>
        <v>855</v>
      </c>
      <c r="H8" s="1">
        <v>14</v>
      </c>
      <c r="I8" s="10">
        <f t="shared" si="1"/>
        <v>0.14000000000000001</v>
      </c>
      <c r="J8" s="1">
        <f t="shared" si="2"/>
        <v>-1</v>
      </c>
      <c r="K8" s="1">
        <f t="shared" si="3"/>
        <v>-14</v>
      </c>
      <c r="L8" s="1">
        <f t="shared" si="4"/>
        <v>14</v>
      </c>
      <c r="M8" s="1">
        <f t="shared" si="5"/>
        <v>0</v>
      </c>
      <c r="Q8">
        <f t="shared" si="6"/>
        <v>11970</v>
      </c>
      <c r="R8">
        <f t="shared" si="7"/>
        <v>10234350</v>
      </c>
    </row>
    <row r="9" spans="4:18" x14ac:dyDescent="0.3">
      <c r="D9" s="1">
        <v>4</v>
      </c>
      <c r="E9" s="1">
        <f t="shared" si="8"/>
        <v>1026</v>
      </c>
      <c r="F9" s="1">
        <f t="shared" si="9"/>
        <v>1368</v>
      </c>
      <c r="G9" s="1">
        <f t="shared" si="0"/>
        <v>1197</v>
      </c>
      <c r="H9" s="1">
        <v>9</v>
      </c>
      <c r="I9" s="10">
        <f t="shared" si="1"/>
        <v>0.09</v>
      </c>
      <c r="J9" s="1">
        <f t="shared" si="2"/>
        <v>0</v>
      </c>
      <c r="K9" s="1">
        <f t="shared" si="3"/>
        <v>0</v>
      </c>
      <c r="L9" s="1">
        <f t="shared" si="4"/>
        <v>0</v>
      </c>
      <c r="M9" s="1">
        <f t="shared" si="5"/>
        <v>9</v>
      </c>
      <c r="Q9">
        <f t="shared" si="6"/>
        <v>10773</v>
      </c>
      <c r="R9">
        <f t="shared" si="7"/>
        <v>12895281</v>
      </c>
    </row>
    <row r="10" spans="4:18" x14ac:dyDescent="0.3">
      <c r="D10" s="1">
        <v>5</v>
      </c>
      <c r="E10" s="1">
        <f t="shared" si="8"/>
        <v>1368</v>
      </c>
      <c r="F10" s="1">
        <f t="shared" si="9"/>
        <v>1710</v>
      </c>
      <c r="G10" s="1">
        <f t="shared" si="0"/>
        <v>1539</v>
      </c>
      <c r="H10" s="1">
        <v>5</v>
      </c>
      <c r="I10" s="10">
        <f t="shared" si="1"/>
        <v>0.05</v>
      </c>
      <c r="J10" s="1">
        <f t="shared" si="2"/>
        <v>1</v>
      </c>
      <c r="K10" s="1">
        <f t="shared" si="3"/>
        <v>5</v>
      </c>
      <c r="L10" s="1">
        <f t="shared" si="4"/>
        <v>5</v>
      </c>
      <c r="M10" s="1">
        <f t="shared" si="5"/>
        <v>20</v>
      </c>
      <c r="Q10">
        <f t="shared" si="6"/>
        <v>7695</v>
      </c>
      <c r="R10">
        <f t="shared" si="7"/>
        <v>11842605</v>
      </c>
    </row>
    <row r="11" spans="4:18" x14ac:dyDescent="0.3">
      <c r="D11" s="1">
        <v>6</v>
      </c>
      <c r="E11" s="1">
        <f t="shared" si="8"/>
        <v>1710</v>
      </c>
      <c r="F11" s="1">
        <f t="shared" si="9"/>
        <v>2052</v>
      </c>
      <c r="G11" s="1">
        <f t="shared" si="0"/>
        <v>1881</v>
      </c>
      <c r="H11" s="1">
        <v>1</v>
      </c>
      <c r="I11" s="10">
        <f t="shared" si="1"/>
        <v>0.01</v>
      </c>
      <c r="J11" s="1">
        <f t="shared" si="2"/>
        <v>2</v>
      </c>
      <c r="K11" s="1">
        <f t="shared" si="3"/>
        <v>2</v>
      </c>
      <c r="L11" s="1">
        <f t="shared" si="4"/>
        <v>4</v>
      </c>
      <c r="M11" s="1">
        <f t="shared" si="5"/>
        <v>9</v>
      </c>
      <c r="Q11">
        <f t="shared" si="6"/>
        <v>1881</v>
      </c>
      <c r="R11">
        <f t="shared" si="7"/>
        <v>3538161</v>
      </c>
    </row>
    <row r="12" spans="4:18" x14ac:dyDescent="0.3">
      <c r="D12" s="1">
        <v>7</v>
      </c>
      <c r="E12" s="1">
        <f t="shared" si="8"/>
        <v>2052</v>
      </c>
      <c r="F12" s="1">
        <f t="shared" si="9"/>
        <v>2394</v>
      </c>
      <c r="G12" s="1">
        <f t="shared" si="0"/>
        <v>2223</v>
      </c>
      <c r="H12" s="1">
        <v>3</v>
      </c>
      <c r="I12" s="10">
        <f t="shared" si="1"/>
        <v>0.03</v>
      </c>
      <c r="J12" s="1">
        <f t="shared" si="2"/>
        <v>3</v>
      </c>
      <c r="K12" s="1">
        <f t="shared" si="3"/>
        <v>9</v>
      </c>
      <c r="L12" s="1">
        <f t="shared" si="4"/>
        <v>27</v>
      </c>
      <c r="M12" s="1">
        <f t="shared" si="5"/>
        <v>48</v>
      </c>
      <c r="Q12">
        <f t="shared" si="6"/>
        <v>6669</v>
      </c>
      <c r="R12">
        <f t="shared" si="7"/>
        <v>14825187</v>
      </c>
    </row>
    <row r="13" spans="4:18" x14ac:dyDescent="0.3">
      <c r="D13" s="1">
        <v>8</v>
      </c>
      <c r="E13" s="1">
        <f t="shared" si="8"/>
        <v>2394</v>
      </c>
      <c r="F13" s="1">
        <f t="shared" si="9"/>
        <v>2736</v>
      </c>
      <c r="G13" s="1">
        <f t="shared" si="0"/>
        <v>2565</v>
      </c>
      <c r="H13" s="1">
        <v>2</v>
      </c>
      <c r="I13" s="10">
        <f t="shared" si="1"/>
        <v>0.02</v>
      </c>
      <c r="J13" s="1">
        <f t="shared" si="2"/>
        <v>4</v>
      </c>
      <c r="K13" s="1">
        <f t="shared" si="3"/>
        <v>8</v>
      </c>
      <c r="L13" s="1">
        <f t="shared" si="4"/>
        <v>32</v>
      </c>
      <c r="M13" s="1">
        <f t="shared" si="5"/>
        <v>50</v>
      </c>
      <c r="Q13">
        <f t="shared" si="6"/>
        <v>5130</v>
      </c>
      <c r="R13">
        <f t="shared" si="7"/>
        <v>13158450</v>
      </c>
    </row>
    <row r="14" spans="4:18" x14ac:dyDescent="0.3">
      <c r="D14" s="1">
        <v>9</v>
      </c>
      <c r="E14" s="9">
        <f>F13</f>
        <v>2736</v>
      </c>
      <c r="F14" s="2"/>
      <c r="G14" s="1"/>
      <c r="M14" s="1"/>
      <c r="Q14">
        <f>SUM(Q6:Q13)</f>
        <v>64296</v>
      </c>
      <c r="R14">
        <f>SUM(R6:R13)</f>
        <v>74506068</v>
      </c>
    </row>
    <row r="15" spans="4:18" x14ac:dyDescent="0.3">
      <c r="H15">
        <f>SUM(H6:H13)</f>
        <v>100</v>
      </c>
      <c r="K15">
        <f t="shared" ref="K15:M15" si="10">SUM(K6:K13)</f>
        <v>-162</v>
      </c>
      <c r="L15">
        <f t="shared" si="10"/>
        <v>546</v>
      </c>
      <c r="M15">
        <f t="shared" si="10"/>
        <v>322</v>
      </c>
      <c r="Q15">
        <f>Q14/100</f>
        <v>642.96</v>
      </c>
      <c r="R15">
        <f>R14/100-Q15*Q15</f>
        <v>331663.11839999998</v>
      </c>
    </row>
    <row r="16" spans="4:18" x14ac:dyDescent="0.3">
      <c r="R16">
        <f>SQRT(R15)</f>
        <v>575.9020041639028</v>
      </c>
    </row>
    <row r="17" spans="4:12" x14ac:dyDescent="0.3">
      <c r="H17">
        <v>1.5E-3</v>
      </c>
      <c r="K17">
        <f>K15/H15</f>
        <v>-1.62</v>
      </c>
      <c r="L17">
        <f>L15/H15-K17*K17</f>
        <v>2.8355999999999995</v>
      </c>
    </row>
    <row r="18" spans="4:12" x14ac:dyDescent="0.3">
      <c r="L18">
        <f>SQRT(L17)*F6</f>
        <v>575.9020041639028</v>
      </c>
    </row>
    <row r="20" spans="4:12" x14ac:dyDescent="0.3">
      <c r="D20">
        <v>1</v>
      </c>
      <c r="E20" s="36">
        <f>-$H$17*E6</f>
        <v>0</v>
      </c>
      <c r="F20" s="36">
        <f>EXP(E20)</f>
        <v>1</v>
      </c>
      <c r="G20" s="35">
        <f>F20-F21</f>
        <v>0.40130320839427081</v>
      </c>
    </row>
    <row r="21" spans="4:12" x14ac:dyDescent="0.3">
      <c r="D21">
        <v>2</v>
      </c>
      <c r="E21" s="36">
        <f>-$H$17*E7</f>
        <v>-0.51300000000000001</v>
      </c>
      <c r="F21" s="37">
        <f t="shared" ref="F21:F28" si="11">EXP(E21)</f>
        <v>0.59869679160572919</v>
      </c>
      <c r="G21" s="35">
        <f t="shared" ref="G21:G27" si="12">F21-F22</f>
        <v>0.24025894332673531</v>
      </c>
    </row>
    <row r="22" spans="4:12" x14ac:dyDescent="0.3">
      <c r="D22">
        <v>3</v>
      </c>
      <c r="E22" s="36">
        <f t="shared" ref="E22" si="13">-$H$17*E8</f>
        <v>-1.026</v>
      </c>
      <c r="F22" s="37">
        <f t="shared" si="11"/>
        <v>0.35843784827899389</v>
      </c>
      <c r="G22" s="35">
        <f t="shared" si="12"/>
        <v>0.1438422585242991</v>
      </c>
    </row>
    <row r="23" spans="4:12" x14ac:dyDescent="0.3">
      <c r="D23">
        <v>4</v>
      </c>
      <c r="E23" s="36">
        <f>-$H$17*E9</f>
        <v>-1.5389999999999999</v>
      </c>
      <c r="F23" s="37">
        <f t="shared" si="11"/>
        <v>0.21459558975469478</v>
      </c>
      <c r="G23" s="35">
        <f t="shared" si="12"/>
        <v>8.611789867581976E-2</v>
      </c>
    </row>
    <row r="24" spans="4:12" x14ac:dyDescent="0.3">
      <c r="D24">
        <v>5</v>
      </c>
      <c r="E24" s="36">
        <f t="shared" ref="E24" si="14">-$H$17*E10</f>
        <v>-2.052</v>
      </c>
      <c r="F24" s="37">
        <f t="shared" si="11"/>
        <v>0.12847769107887502</v>
      </c>
      <c r="G24" s="35">
        <f t="shared" si="12"/>
        <v>5.155850963704052E-2</v>
      </c>
    </row>
    <row r="25" spans="4:12" x14ac:dyDescent="0.3">
      <c r="D25">
        <v>6</v>
      </c>
      <c r="E25" s="36">
        <f t="shared" ref="E25" si="15">-$H$17*E11</f>
        <v>-2.5649999999999999</v>
      </c>
      <c r="F25" s="37">
        <f t="shared" si="11"/>
        <v>7.6919181441834503E-2</v>
      </c>
      <c r="G25" s="35">
        <f t="shared" si="12"/>
        <v>3.0867914299669237E-2</v>
      </c>
    </row>
    <row r="26" spans="4:12" x14ac:dyDescent="0.3">
      <c r="D26">
        <v>7</v>
      </c>
      <c r="E26" s="36">
        <f t="shared" ref="E26" si="16">-$H$17*E12</f>
        <v>-3.0779999999999998</v>
      </c>
      <c r="F26" s="37">
        <f t="shared" si="11"/>
        <v>4.6051267142165266E-2</v>
      </c>
      <c r="G26" s="35">
        <f t="shared" si="12"/>
        <v>5.1267142165266344E-5</v>
      </c>
    </row>
    <row r="27" spans="4:12" x14ac:dyDescent="0.3">
      <c r="D27">
        <v>8</v>
      </c>
      <c r="E27" s="36">
        <f t="shared" ref="E27" si="17">-$H$17*E13</f>
        <v>-3.5910000000000002</v>
      </c>
      <c r="F27" s="37">
        <v>4.5999999999999999E-2</v>
      </c>
      <c r="G27" s="35">
        <f t="shared" si="12"/>
        <v>2.9493482895041154E-2</v>
      </c>
    </row>
    <row r="28" spans="4:12" x14ac:dyDescent="0.3">
      <c r="D28">
        <v>9</v>
      </c>
      <c r="E28" s="36">
        <f t="shared" ref="E28" si="18">-$H$17*E14</f>
        <v>-4.1040000000000001</v>
      </c>
      <c r="F28" s="37">
        <f t="shared" si="11"/>
        <v>1.6506517104958845E-2</v>
      </c>
      <c r="G28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24"/>
  <sheetViews>
    <sheetView zoomScale="140" zoomScaleNormal="140" workbookViewId="0">
      <selection activeCell="E16" sqref="E16"/>
    </sheetView>
  </sheetViews>
  <sheetFormatPr defaultRowHeight="14.4" x14ac:dyDescent="0.3"/>
  <cols>
    <col min="2" max="3" width="2.6640625" customWidth="1"/>
    <col min="4" max="9" width="6.6640625" customWidth="1"/>
    <col min="11" max="11" width="10.33203125" customWidth="1"/>
  </cols>
  <sheetData>
    <row r="5" spans="2:19" x14ac:dyDescent="0.3">
      <c r="B5" s="81"/>
      <c r="C5" s="82" t="s">
        <v>54</v>
      </c>
      <c r="D5" s="161">
        <v>2</v>
      </c>
      <c r="E5" s="161">
        <v>3</v>
      </c>
      <c r="F5" s="161">
        <v>4</v>
      </c>
      <c r="G5" s="161">
        <v>5</v>
      </c>
      <c r="H5" s="161">
        <v>6</v>
      </c>
      <c r="I5" s="162" t="s">
        <v>55</v>
      </c>
      <c r="J5" s="162" t="s">
        <v>57</v>
      </c>
      <c r="K5" s="162" t="s">
        <v>58</v>
      </c>
      <c r="L5" s="151"/>
    </row>
    <row r="6" spans="2:19" x14ac:dyDescent="0.3">
      <c r="B6" s="83" t="s">
        <v>53</v>
      </c>
      <c r="C6" s="84"/>
      <c r="D6" s="161"/>
      <c r="E6" s="161"/>
      <c r="F6" s="161"/>
      <c r="G6" s="161"/>
      <c r="H6" s="161"/>
      <c r="I6" s="163"/>
      <c r="J6" s="163"/>
      <c r="K6" s="163"/>
      <c r="L6" s="151"/>
    </row>
    <row r="7" spans="2:19" x14ac:dyDescent="0.3">
      <c r="B7" s="151">
        <v>5</v>
      </c>
      <c r="C7" s="151"/>
      <c r="D7" s="28">
        <v>2</v>
      </c>
      <c r="E7" s="28">
        <v>4</v>
      </c>
      <c r="F7" s="28"/>
      <c r="G7" s="28"/>
      <c r="H7" s="28"/>
      <c r="I7" s="28">
        <f>SUM(D7:H7)</f>
        <v>6</v>
      </c>
      <c r="J7" s="17">
        <f>B7*I7</f>
        <v>30</v>
      </c>
      <c r="K7" s="17">
        <f>B7*B7*I7</f>
        <v>150</v>
      </c>
      <c r="L7" s="17">
        <f>(D5*D7+E5*E7)/I7</f>
        <v>2.6666666666666665</v>
      </c>
      <c r="N7">
        <f>$B7*D$5*D7</f>
        <v>20</v>
      </c>
      <c r="O7">
        <f t="shared" ref="O7:R7" si="0">$B7*E$5*E7</f>
        <v>60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ref="S7:S11" si="1">SUM(N7:R7)</f>
        <v>80</v>
      </c>
    </row>
    <row r="8" spans="2:19" x14ac:dyDescent="0.3">
      <c r="B8" s="151">
        <v>7</v>
      </c>
      <c r="C8" s="151"/>
      <c r="D8" s="28"/>
      <c r="E8" s="28">
        <v>4</v>
      </c>
      <c r="F8" s="28">
        <v>11</v>
      </c>
      <c r="G8" s="28">
        <v>8</v>
      </c>
      <c r="H8" s="28"/>
      <c r="I8" s="28">
        <f>SUM(D8:H8)</f>
        <v>23</v>
      </c>
      <c r="J8" s="17">
        <f>B8*I8</f>
        <v>161</v>
      </c>
      <c r="K8" s="17">
        <f>B8*B8*I8</f>
        <v>1127</v>
      </c>
      <c r="L8" s="17">
        <f>(E5*E8+F5*F8+G5*G8)/I8</f>
        <v>4.1739130434782608</v>
      </c>
      <c r="N8">
        <f t="shared" ref="N8:N11" si="2">$B8*D$5*D8</f>
        <v>0</v>
      </c>
      <c r="O8">
        <f>$B8*E$5*E8</f>
        <v>84</v>
      </c>
      <c r="P8">
        <f>$B8*F$5*F8</f>
        <v>308</v>
      </c>
      <c r="Q8">
        <f t="shared" ref="Q8:Q11" si="3">$B8*G$5*G8</f>
        <v>280</v>
      </c>
      <c r="R8">
        <f t="shared" ref="R8:R11" si="4">$B8*H$5*H8</f>
        <v>0</v>
      </c>
      <c r="S8">
        <f t="shared" si="1"/>
        <v>672</v>
      </c>
    </row>
    <row r="9" spans="2:19" x14ac:dyDescent="0.3">
      <c r="B9" s="151">
        <v>9</v>
      </c>
      <c r="C9" s="151"/>
      <c r="D9" s="28"/>
      <c r="E9" s="28">
        <v>8</v>
      </c>
      <c r="F9" s="28">
        <v>16</v>
      </c>
      <c r="G9" s="28">
        <v>15</v>
      </c>
      <c r="H9" s="28"/>
      <c r="I9" s="28">
        <f>SUM(D9:H9)</f>
        <v>39</v>
      </c>
      <c r="J9" s="17">
        <f>B9*I9</f>
        <v>351</v>
      </c>
      <c r="K9" s="17">
        <f>B9*B9*I9</f>
        <v>3159</v>
      </c>
      <c r="L9" s="17"/>
      <c r="N9">
        <f t="shared" si="2"/>
        <v>0</v>
      </c>
      <c r="O9">
        <f t="shared" ref="O9:O11" si="5">$B9*E$5*E9</f>
        <v>216</v>
      </c>
      <c r="P9">
        <f>$B9*F$5*F9</f>
        <v>576</v>
      </c>
      <c r="Q9">
        <f t="shared" si="3"/>
        <v>675</v>
      </c>
      <c r="R9">
        <f t="shared" si="4"/>
        <v>0</v>
      </c>
      <c r="S9">
        <f t="shared" si="1"/>
        <v>1467</v>
      </c>
    </row>
    <row r="10" spans="2:19" x14ac:dyDescent="0.3">
      <c r="B10" s="151">
        <v>11</v>
      </c>
      <c r="C10" s="151"/>
      <c r="D10" s="28"/>
      <c r="E10" s="28"/>
      <c r="F10" s="28">
        <v>10</v>
      </c>
      <c r="G10" s="28">
        <v>7</v>
      </c>
      <c r="H10" s="28">
        <v>5</v>
      </c>
      <c r="I10" s="28">
        <f>SUM(D10:H10)</f>
        <v>22</v>
      </c>
      <c r="J10" s="17">
        <f>B10*I10</f>
        <v>242</v>
      </c>
      <c r="K10" s="17">
        <f>B10*B10*I10</f>
        <v>2662</v>
      </c>
      <c r="L10" s="17"/>
      <c r="N10">
        <f t="shared" si="2"/>
        <v>0</v>
      </c>
      <c r="O10">
        <f t="shared" si="5"/>
        <v>0</v>
      </c>
      <c r="P10">
        <f>$B10*F$5*F10</f>
        <v>440</v>
      </c>
      <c r="Q10">
        <f t="shared" si="3"/>
        <v>385</v>
      </c>
      <c r="R10">
        <f t="shared" si="4"/>
        <v>330</v>
      </c>
      <c r="S10">
        <f t="shared" si="1"/>
        <v>1155</v>
      </c>
    </row>
    <row r="11" spans="2:19" x14ac:dyDescent="0.3">
      <c r="B11" s="151">
        <v>13</v>
      </c>
      <c r="C11" s="151"/>
      <c r="D11" s="28"/>
      <c r="E11" s="28"/>
      <c r="F11" s="28"/>
      <c r="G11" s="28">
        <v>6</v>
      </c>
      <c r="H11" s="28">
        <v>4</v>
      </c>
      <c r="I11" s="28">
        <f>SUM(D11:H11)</f>
        <v>10</v>
      </c>
      <c r="J11" s="17">
        <f>B11*I11</f>
        <v>130</v>
      </c>
      <c r="K11" s="17">
        <f>B11*B11*I11</f>
        <v>1690</v>
      </c>
      <c r="L11" s="17"/>
      <c r="N11">
        <f t="shared" si="2"/>
        <v>0</v>
      </c>
      <c r="O11">
        <f t="shared" si="5"/>
        <v>0</v>
      </c>
      <c r="P11">
        <f t="shared" ref="P11" si="6">$B11*F$5*F11</f>
        <v>0</v>
      </c>
      <c r="Q11">
        <f t="shared" si="3"/>
        <v>390</v>
      </c>
      <c r="R11">
        <f t="shared" si="4"/>
        <v>312</v>
      </c>
      <c r="S11">
        <f t="shared" si="1"/>
        <v>702</v>
      </c>
    </row>
    <row r="12" spans="2:19" ht="15.6" x14ac:dyDescent="0.35">
      <c r="B12" s="151" t="s">
        <v>56</v>
      </c>
      <c r="C12" s="151"/>
      <c r="D12" s="28">
        <f t="shared" ref="D12:K12" si="7">SUM(D7:D11)</f>
        <v>2</v>
      </c>
      <c r="E12" s="28">
        <f t="shared" si="7"/>
        <v>16</v>
      </c>
      <c r="F12" s="28">
        <f t="shared" si="7"/>
        <v>37</v>
      </c>
      <c r="G12" s="28">
        <f t="shared" si="7"/>
        <v>36</v>
      </c>
      <c r="H12" s="28">
        <f t="shared" si="7"/>
        <v>9</v>
      </c>
      <c r="I12" s="28">
        <f t="shared" si="7"/>
        <v>100</v>
      </c>
      <c r="J12" s="17">
        <f t="shared" si="7"/>
        <v>914</v>
      </c>
      <c r="K12" s="17">
        <f t="shared" si="7"/>
        <v>8788</v>
      </c>
      <c r="L12" s="17"/>
      <c r="N12">
        <f t="shared" ref="N12:R12" si="8">SUM(N7:N11)</f>
        <v>20</v>
      </c>
      <c r="O12">
        <f t="shared" si="8"/>
        <v>360</v>
      </c>
      <c r="P12">
        <f t="shared" si="8"/>
        <v>1324</v>
      </c>
      <c r="Q12">
        <f t="shared" si="8"/>
        <v>1730</v>
      </c>
      <c r="R12">
        <f t="shared" si="8"/>
        <v>642</v>
      </c>
    </row>
    <row r="13" spans="2:19" ht="15.6" x14ac:dyDescent="0.35">
      <c r="B13" s="151" t="s">
        <v>59</v>
      </c>
      <c r="C13" s="151"/>
      <c r="D13" s="17">
        <f>D5*D12</f>
        <v>4</v>
      </c>
      <c r="E13" s="17">
        <f>E5*E12</f>
        <v>48</v>
      </c>
      <c r="F13" s="17">
        <f>F5*F12</f>
        <v>148</v>
      </c>
      <c r="G13" s="17">
        <f>G5*G12</f>
        <v>180</v>
      </c>
      <c r="H13" s="17">
        <f>H5*H12</f>
        <v>54</v>
      </c>
      <c r="I13" s="87">
        <f>SUM(D13:H13)</f>
        <v>434</v>
      </c>
      <c r="P13">
        <f>SUM(N7:R11)</f>
        <v>4076</v>
      </c>
    </row>
    <row r="14" spans="2:19" ht="16.8" x14ac:dyDescent="0.35">
      <c r="B14" s="151" t="s">
        <v>60</v>
      </c>
      <c r="C14" s="151"/>
      <c r="D14" s="17">
        <f>D5*D5*D12</f>
        <v>8</v>
      </c>
      <c r="E14" s="17">
        <f>E5*E5*E12</f>
        <v>144</v>
      </c>
      <c r="F14" s="17">
        <f>F5*F5*F12</f>
        <v>592</v>
      </c>
      <c r="G14" s="17">
        <f>G5*G5*G12</f>
        <v>900</v>
      </c>
      <c r="H14" s="17">
        <f>H5*H5*H12</f>
        <v>324</v>
      </c>
      <c r="I14" s="87">
        <f>SUM(D14:H14)</f>
        <v>1968</v>
      </c>
      <c r="P14">
        <f>P13-I12*F17*F18</f>
        <v>109.24000000000024</v>
      </c>
    </row>
    <row r="15" spans="2:19" x14ac:dyDescent="0.3">
      <c r="B15" s="151"/>
      <c r="C15" s="151"/>
      <c r="D15">
        <f>B7*D7/D12</f>
        <v>5</v>
      </c>
      <c r="E15">
        <f>(B7*E7+B8*E8+B9*E9)/E12</f>
        <v>7.5</v>
      </c>
    </row>
    <row r="17" spans="5:17" ht="15.6" x14ac:dyDescent="0.35">
      <c r="E17" s="24" t="s">
        <v>61</v>
      </c>
      <c r="F17" s="1">
        <f>J12/I12</f>
        <v>9.14</v>
      </c>
      <c r="J17" s="1" t="s">
        <v>71</v>
      </c>
      <c r="K17" s="1" t="s">
        <v>72</v>
      </c>
    </row>
    <row r="18" spans="5:17" ht="15.6" x14ac:dyDescent="0.35">
      <c r="E18" s="24" t="s">
        <v>62</v>
      </c>
      <c r="F18" s="1">
        <f>I13/I12</f>
        <v>4.34</v>
      </c>
      <c r="J18" s="1">
        <f>$F$23*B7+$G$23</f>
        <v>3.2980370472767433</v>
      </c>
      <c r="M18">
        <f>$F$24*D5+$G$24</f>
        <v>6.1127427759355708</v>
      </c>
      <c r="N18">
        <f t="shared" ref="N18:Q18" si="9">$F$24*E5+$G$24</f>
        <v>7.4064424443391736</v>
      </c>
      <c r="O18">
        <f t="shared" si="9"/>
        <v>8.7001421127427747</v>
      </c>
      <c r="P18">
        <f t="shared" si="9"/>
        <v>9.9938417811463793</v>
      </c>
      <c r="Q18">
        <f t="shared" si="9"/>
        <v>11.28754144954998</v>
      </c>
    </row>
    <row r="19" spans="5:17" ht="15.6" x14ac:dyDescent="0.35">
      <c r="E19" s="89" t="s">
        <v>63</v>
      </c>
      <c r="F19">
        <f>SQRT(K12/I12-F17*F17)</f>
        <v>2.0833626664601601</v>
      </c>
      <c r="J19" s="1">
        <f t="shared" ref="J19:J22" si="10">$F$23*B8+$G$23</f>
        <v>3.8014007925536788</v>
      </c>
    </row>
    <row r="20" spans="5:17" ht="15.6" x14ac:dyDescent="0.35">
      <c r="E20" s="25" t="s">
        <v>64</v>
      </c>
      <c r="F20">
        <f>SQRT(I14/I12-F18*F18)</f>
        <v>0.91891240061281154</v>
      </c>
      <c r="J20" s="1">
        <f t="shared" si="10"/>
        <v>4.3047645378306143</v>
      </c>
    </row>
    <row r="21" spans="5:17" x14ac:dyDescent="0.3">
      <c r="F21">
        <f>P14/I12/F19/F20</f>
        <v>0.57061436642936303</v>
      </c>
      <c r="J21" s="1">
        <f t="shared" si="10"/>
        <v>4.8081282831075498</v>
      </c>
    </row>
    <row r="22" spans="5:17" x14ac:dyDescent="0.3">
      <c r="F22">
        <f>F21*SQRT(98/(1-F21*F21))</f>
        <v>6.8785548059765782</v>
      </c>
      <c r="J22" s="1">
        <f t="shared" si="10"/>
        <v>5.3114920283844853</v>
      </c>
    </row>
    <row r="23" spans="5:17" ht="15.6" x14ac:dyDescent="0.35">
      <c r="E23" s="24" t="s">
        <v>67</v>
      </c>
      <c r="F23">
        <f>F21*F20/F19</f>
        <v>0.2516818726384677</v>
      </c>
      <c r="G23">
        <f>-F21*F20/F19*F17+F18</f>
        <v>2.039627684084405</v>
      </c>
    </row>
    <row r="24" spans="5:17" ht="15.6" x14ac:dyDescent="0.35">
      <c r="E24" s="24" t="s">
        <v>68</v>
      </c>
      <c r="F24">
        <f>F21*F19/F20</f>
        <v>1.2936996684036024</v>
      </c>
      <c r="G24">
        <f>-F21*F19/F20*F18+F17</f>
        <v>3.525343439128366</v>
      </c>
    </row>
  </sheetData>
  <mergeCells count="18">
    <mergeCell ref="B12:C12"/>
    <mergeCell ref="B13:C13"/>
    <mergeCell ref="B14:C14"/>
    <mergeCell ref="B15:C15"/>
    <mergeCell ref="B7:C7"/>
    <mergeCell ref="B8:C8"/>
    <mergeCell ref="B9:C9"/>
    <mergeCell ref="B10:C10"/>
    <mergeCell ref="B11:C11"/>
    <mergeCell ref="I5:I6"/>
    <mergeCell ref="J5:J6"/>
    <mergeCell ref="K5:K6"/>
    <mergeCell ref="L5:L6"/>
    <mergeCell ref="D5:D6"/>
    <mergeCell ref="E5:E6"/>
    <mergeCell ref="F5:F6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</vt:lpstr>
      <vt:lpstr>ЗАДАЧА 3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Преподаватель 2</dc:creator>
  <cp:lastModifiedBy>Преподаватель 2</cp:lastModifiedBy>
  <dcterms:created xsi:type="dcterms:W3CDTF">2022-05-13T07:40:00Z</dcterms:created>
  <dcterms:modified xsi:type="dcterms:W3CDTF">2022-05-18T13:44:04Z</dcterms:modified>
</cp:coreProperties>
</file>