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320" firstSheet="14" activeTab="21"/>
  </bookViews>
  <sheets>
    <sheet name="latihan1" sheetId="1" r:id="rId1"/>
    <sheet name="salah" sheetId="2" r:id="rId2"/>
    <sheet name="latihan2" sheetId="3" r:id="rId3"/>
    <sheet name="latihan 3" sheetId="4" r:id="rId4"/>
    <sheet name="LATIHAN4" sheetId="5" r:id="rId5"/>
    <sheet name="latihan 5" sheetId="6" r:id="rId6"/>
    <sheet name="latihan6" sheetId="7" r:id="rId7"/>
    <sheet name="latihan7" sheetId="8" r:id="rId8"/>
    <sheet name="latihan8" sheetId="10" r:id="rId9"/>
    <sheet name="latihan9" sheetId="9" r:id="rId10"/>
    <sheet name="latihan10" sheetId="11" r:id="rId11"/>
    <sheet name="coret coret" sheetId="12" r:id="rId12"/>
    <sheet name="latihan11" sheetId="13" r:id="rId13"/>
    <sheet name="latihan12" sheetId="14" r:id="rId14"/>
    <sheet name="latihan13" sheetId="15" r:id="rId15"/>
    <sheet name="lartihan14" sheetId="16" r:id="rId16"/>
    <sheet name="latihan15" sheetId="17" r:id="rId17"/>
    <sheet name="Sheet2" sheetId="19" r:id="rId18"/>
    <sheet name="Sheet1" sheetId="21" r:id="rId19"/>
    <sheet name="Sheet3" sheetId="22" r:id="rId20"/>
    <sheet name="Sheet4" sheetId="23" r:id="rId21"/>
    <sheet name="Sheet5" sheetId="24" r:id="rId22"/>
  </sheets>
  <externalReferences>
    <externalReference r:id="rId2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21" l="1"/>
  <c r="J19" i="21"/>
  <c r="I19" i="21"/>
  <c r="K18" i="21"/>
  <c r="J18" i="21"/>
  <c r="I18" i="21"/>
  <c r="H18" i="21"/>
  <c r="G18" i="21"/>
  <c r="F18" i="21"/>
  <c r="E18" i="21"/>
  <c r="K17" i="21"/>
  <c r="J17" i="21"/>
  <c r="I17" i="21"/>
  <c r="H17" i="21"/>
  <c r="G17" i="21"/>
  <c r="F17" i="21"/>
  <c r="E17" i="21"/>
  <c r="K16" i="21"/>
  <c r="J16" i="21"/>
  <c r="I16" i="21"/>
  <c r="H16" i="21"/>
  <c r="G16" i="21"/>
  <c r="F16" i="21"/>
  <c r="E16" i="21"/>
  <c r="K15" i="21"/>
  <c r="J15" i="21"/>
  <c r="I15" i="21"/>
  <c r="H15" i="21"/>
  <c r="G15" i="21"/>
  <c r="F15" i="21"/>
  <c r="E15" i="21"/>
  <c r="K14" i="21"/>
  <c r="J14" i="21"/>
  <c r="I14" i="21"/>
  <c r="H14" i="21"/>
  <c r="G14" i="21"/>
  <c r="F14" i="21"/>
  <c r="E14" i="21"/>
  <c r="K13" i="21"/>
  <c r="J13" i="21"/>
  <c r="I13" i="21"/>
  <c r="H13" i="21"/>
  <c r="G13" i="21"/>
  <c r="F13" i="21"/>
  <c r="E13" i="21"/>
  <c r="K12" i="21"/>
  <c r="J12" i="21"/>
  <c r="I12" i="21"/>
  <c r="H12" i="21"/>
  <c r="G12" i="21"/>
  <c r="F12" i="21"/>
  <c r="E12" i="21"/>
  <c r="K11" i="21"/>
  <c r="J11" i="21"/>
  <c r="I11" i="21"/>
  <c r="H11" i="21"/>
  <c r="G11" i="21"/>
  <c r="F11" i="21"/>
  <c r="E11" i="21"/>
  <c r="K10" i="21"/>
  <c r="J10" i="21"/>
  <c r="I10" i="21"/>
  <c r="H10" i="21"/>
  <c r="G10" i="21"/>
  <c r="F10" i="21"/>
  <c r="E10" i="21"/>
  <c r="K9" i="21"/>
  <c r="J9" i="21"/>
  <c r="I9" i="21"/>
  <c r="H9" i="21"/>
  <c r="G9" i="21"/>
  <c r="F9" i="21"/>
  <c r="E9" i="21"/>
  <c r="K8" i="21"/>
  <c r="J8" i="21"/>
  <c r="I8" i="21"/>
  <c r="H8" i="21"/>
  <c r="G8" i="21"/>
  <c r="F8" i="21"/>
  <c r="E8" i="21"/>
  <c r="K7" i="21"/>
  <c r="J7" i="21"/>
  <c r="I7" i="21"/>
  <c r="H7" i="21"/>
  <c r="G7" i="21"/>
  <c r="F7" i="21"/>
  <c r="E7" i="21"/>
  <c r="K6" i="21"/>
  <c r="J6" i="21"/>
  <c r="I6" i="21"/>
  <c r="H6" i="21"/>
  <c r="G6" i="21"/>
  <c r="F6" i="21"/>
  <c r="E6" i="21"/>
  <c r="K5" i="21"/>
  <c r="J5" i="21"/>
  <c r="I5" i="21"/>
  <c r="H5" i="21"/>
  <c r="G5" i="21"/>
  <c r="F5" i="21"/>
  <c r="E5" i="21"/>
  <c r="K4" i="21"/>
  <c r="J4" i="21"/>
  <c r="I4" i="21"/>
  <c r="H4" i="21"/>
  <c r="G4" i="21"/>
  <c r="F4" i="21"/>
  <c r="E4" i="21"/>
  <c r="K16" i="17"/>
  <c r="J16" i="17"/>
  <c r="I16" i="17"/>
  <c r="H16" i="17"/>
  <c r="G16" i="17"/>
  <c r="F16" i="17"/>
  <c r="K15" i="17"/>
  <c r="J15" i="17"/>
  <c r="I15" i="17"/>
  <c r="H15" i="17"/>
  <c r="G15" i="17"/>
  <c r="F15" i="17"/>
  <c r="K14" i="17"/>
  <c r="J14" i="17"/>
  <c r="I14" i="17"/>
  <c r="H14" i="17"/>
  <c r="G14" i="17"/>
  <c r="F14" i="17"/>
  <c r="K13" i="17"/>
  <c r="J13" i="17"/>
  <c r="I13" i="17"/>
  <c r="H13" i="17"/>
  <c r="G13" i="17"/>
  <c r="F13" i="17"/>
  <c r="K12" i="17"/>
  <c r="J12" i="17"/>
  <c r="I12" i="17"/>
  <c r="H12" i="17"/>
  <c r="G12" i="17"/>
  <c r="F12" i="17"/>
  <c r="K11" i="17"/>
  <c r="J11" i="17"/>
  <c r="I11" i="17"/>
  <c r="H11" i="17"/>
  <c r="G11" i="17"/>
  <c r="F11" i="17"/>
  <c r="K10" i="17"/>
  <c r="J10" i="17"/>
  <c r="I10" i="17"/>
  <c r="H10" i="17"/>
  <c r="G10" i="17"/>
  <c r="F10" i="17"/>
  <c r="K9" i="17"/>
  <c r="J9" i="17"/>
  <c r="I9" i="17"/>
  <c r="H9" i="17"/>
  <c r="G9" i="17"/>
  <c r="F9" i="17"/>
  <c r="K8" i="17"/>
  <c r="J8" i="17"/>
  <c r="I8" i="17"/>
  <c r="H8" i="17"/>
  <c r="G8" i="17"/>
  <c r="F8" i="17"/>
  <c r="K7" i="17"/>
  <c r="J7" i="17"/>
  <c r="I7" i="17"/>
  <c r="H7" i="17"/>
  <c r="G7" i="17"/>
  <c r="F7" i="17"/>
  <c r="K6" i="17"/>
  <c r="J6" i="17"/>
  <c r="I6" i="17"/>
  <c r="H6" i="17"/>
  <c r="G6" i="17"/>
  <c r="F6" i="17"/>
  <c r="K5" i="17"/>
  <c r="J5" i="17"/>
  <c r="I5" i="17"/>
  <c r="H5" i="17"/>
  <c r="G5" i="17"/>
  <c r="F5" i="17"/>
  <c r="L21" i="15"/>
  <c r="K21" i="15"/>
  <c r="L20" i="15"/>
  <c r="K20" i="15"/>
  <c r="L19" i="15"/>
  <c r="K19" i="15"/>
  <c r="J19" i="15"/>
  <c r="I19" i="15"/>
  <c r="L18" i="15"/>
  <c r="K18" i="15"/>
  <c r="J18" i="15"/>
  <c r="I18" i="15"/>
  <c r="L17" i="15"/>
  <c r="K17" i="15"/>
  <c r="J17" i="15"/>
  <c r="I17" i="15"/>
  <c r="I11" i="14"/>
  <c r="H11" i="14"/>
  <c r="G11" i="14"/>
  <c r="F11" i="14"/>
  <c r="I10" i="14"/>
  <c r="H10" i="14"/>
  <c r="G10" i="14"/>
  <c r="F10" i="14"/>
  <c r="I9" i="14"/>
  <c r="H9" i="14"/>
  <c r="G9" i="14"/>
  <c r="F9" i="14"/>
  <c r="I8" i="14"/>
  <c r="H8" i="14"/>
  <c r="G8" i="14"/>
  <c r="F8" i="14"/>
  <c r="I7" i="14"/>
  <c r="H7" i="14"/>
  <c r="G7" i="14"/>
  <c r="F7" i="14"/>
  <c r="I6" i="14"/>
  <c r="H6" i="14"/>
  <c r="G6" i="14"/>
  <c r="F6" i="14"/>
  <c r="G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G6" i="13"/>
  <c r="F6" i="13"/>
  <c r="E6" i="13"/>
  <c r="M9" i="12"/>
  <c r="I6" i="12"/>
  <c r="H9" i="11"/>
  <c r="G9" i="11"/>
  <c r="F9" i="11"/>
  <c r="E9" i="11"/>
  <c r="H8" i="11"/>
  <c r="G8" i="11"/>
  <c r="F8" i="11"/>
  <c r="E8" i="11"/>
  <c r="H7" i="11"/>
  <c r="G7" i="11"/>
  <c r="F7" i="11"/>
  <c r="E7" i="11"/>
  <c r="H6" i="11"/>
  <c r="G6" i="11"/>
  <c r="F6" i="11"/>
  <c r="E6" i="11"/>
  <c r="H5" i="11"/>
  <c r="G5" i="11"/>
  <c r="F5" i="11"/>
  <c r="E5" i="11"/>
  <c r="H4" i="11"/>
  <c r="G4" i="11"/>
  <c r="F4" i="11"/>
  <c r="E4" i="11"/>
  <c r="R62" i="9"/>
  <c r="F18" i="9"/>
  <c r="F17" i="9"/>
  <c r="T16" i="9"/>
  <c r="F16" i="9"/>
  <c r="T15" i="9"/>
  <c r="T14" i="9"/>
  <c r="T13" i="9"/>
  <c r="T12" i="9"/>
  <c r="R12" i="9"/>
  <c r="P12" i="9"/>
  <c r="L12" i="9"/>
  <c r="J12" i="9"/>
  <c r="T11" i="9"/>
  <c r="R11" i="9"/>
  <c r="P11" i="9"/>
  <c r="L11" i="9"/>
  <c r="J11" i="9"/>
  <c r="T10" i="9"/>
  <c r="R10" i="9"/>
  <c r="P10" i="9"/>
  <c r="L10" i="9"/>
  <c r="J10" i="9"/>
  <c r="T9" i="9"/>
  <c r="R9" i="9"/>
  <c r="P9" i="9"/>
  <c r="L9" i="9"/>
  <c r="J9" i="9"/>
  <c r="T8" i="9"/>
  <c r="R8" i="9"/>
  <c r="P8" i="9"/>
  <c r="L8" i="9"/>
  <c r="J8" i="9"/>
  <c r="T7" i="9"/>
  <c r="R7" i="9"/>
  <c r="P7" i="9"/>
  <c r="L7" i="9"/>
  <c r="J7" i="9"/>
  <c r="T6" i="9"/>
  <c r="R6" i="9"/>
  <c r="P6" i="9"/>
  <c r="L6" i="9"/>
  <c r="J6" i="9"/>
  <c r="K12" i="10"/>
  <c r="K10" i="10"/>
  <c r="K9" i="10"/>
  <c r="K8" i="10"/>
  <c r="L21" i="8"/>
  <c r="L20" i="8"/>
  <c r="L19" i="8"/>
  <c r="L17" i="8"/>
  <c r="J17" i="8"/>
  <c r="L16" i="8"/>
  <c r="J16" i="8"/>
  <c r="L15" i="8"/>
  <c r="J15" i="8"/>
  <c r="L14" i="8"/>
  <c r="J14" i="8"/>
  <c r="L13" i="8"/>
  <c r="J13" i="8"/>
  <c r="L12" i="8"/>
  <c r="J12" i="8"/>
  <c r="L11" i="8"/>
  <c r="J11" i="8"/>
  <c r="L10" i="8"/>
  <c r="J10" i="8"/>
  <c r="L9" i="8"/>
  <c r="J9" i="8"/>
  <c r="L8" i="8"/>
  <c r="J8" i="8"/>
  <c r="C22" i="7"/>
  <c r="H21" i="7"/>
  <c r="C21" i="7"/>
  <c r="H20" i="7"/>
  <c r="C20" i="7"/>
  <c r="H19" i="7"/>
  <c r="C19" i="7"/>
  <c r="H18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N25" i="4"/>
  <c r="M25" i="4"/>
  <c r="L25" i="4"/>
  <c r="K25" i="4"/>
  <c r="N24" i="4"/>
  <c r="M24" i="4"/>
  <c r="L24" i="4"/>
  <c r="K24" i="4"/>
  <c r="N23" i="4"/>
  <c r="M23" i="4"/>
  <c r="L23" i="4"/>
  <c r="K23" i="4"/>
  <c r="N22" i="4"/>
  <c r="M22" i="4"/>
  <c r="L22" i="4"/>
  <c r="K22" i="4"/>
  <c r="N21" i="4"/>
  <c r="M21" i="4"/>
  <c r="L21" i="4"/>
  <c r="K21" i="4"/>
  <c r="N20" i="4"/>
  <c r="M20" i="4"/>
  <c r="L20" i="4"/>
  <c r="K20" i="4"/>
  <c r="N19" i="4"/>
  <c r="M19" i="4"/>
  <c r="L19" i="4"/>
  <c r="K19" i="4"/>
  <c r="N18" i="4"/>
  <c r="M18" i="4"/>
  <c r="L18" i="4"/>
  <c r="K18" i="4"/>
  <c r="N17" i="4"/>
  <c r="M17" i="4"/>
  <c r="L17" i="4"/>
  <c r="K17" i="4"/>
  <c r="N16" i="4"/>
  <c r="M16" i="4"/>
  <c r="L16" i="4"/>
  <c r="K16" i="4"/>
  <c r="N15" i="4"/>
  <c r="M15" i="4"/>
  <c r="L15" i="4"/>
  <c r="K15" i="4"/>
  <c r="N14" i="4"/>
  <c r="M14" i="4"/>
  <c r="L14" i="4"/>
  <c r="K14" i="4"/>
  <c r="N13" i="4"/>
  <c r="M13" i="4"/>
  <c r="L13" i="4"/>
  <c r="K13" i="4"/>
  <c r="N12" i="4"/>
  <c r="M12" i="4"/>
  <c r="L12" i="4"/>
  <c r="K12" i="4"/>
  <c r="N11" i="4"/>
  <c r="M11" i="4"/>
  <c r="L11" i="4"/>
  <c r="K11" i="4"/>
  <c r="M17" i="3"/>
  <c r="M16" i="3"/>
  <c r="M15" i="3"/>
  <c r="M14" i="3"/>
  <c r="M13" i="3"/>
  <c r="M12" i="3"/>
  <c r="M11" i="3"/>
  <c r="I9" i="3"/>
  <c r="P25" i="2"/>
  <c r="P24" i="2"/>
  <c r="P23" i="2"/>
  <c r="P22" i="2"/>
  <c r="P21" i="2"/>
  <c r="P20" i="2"/>
  <c r="P19" i="2"/>
  <c r="L17" i="2"/>
  <c r="I9" i="2"/>
  <c r="I8" i="2"/>
  <c r="I7" i="2"/>
  <c r="I6" i="2"/>
  <c r="I5" i="2"/>
  <c r="I4" i="2"/>
  <c r="I3" i="2"/>
  <c r="E1" i="2"/>
  <c r="I15" i="1"/>
  <c r="H15" i="1"/>
  <c r="G15" i="1"/>
  <c r="F15" i="1"/>
  <c r="E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</calcChain>
</file>

<file path=xl/sharedStrings.xml><?xml version="1.0" encoding="utf-8"?>
<sst xmlns="http://schemas.openxmlformats.org/spreadsheetml/2006/main" count="741" uniqueCount="547">
  <si>
    <t>no</t>
  </si>
  <si>
    <t>NAMA
BARANG</t>
  </si>
  <si>
    <t>NANA
PESANAN</t>
  </si>
  <si>
    <t>JUMLAH 
BARANG</t>
  </si>
  <si>
    <t>HARGA
SATUAN</t>
  </si>
  <si>
    <t>JUMLAH
TERJUAL</t>
  </si>
  <si>
    <t>KOMPUTER</t>
  </si>
  <si>
    <t>BENARD ANTOLIT</t>
  </si>
  <si>
    <t>RAFI RASMIKA</t>
  </si>
  <si>
    <t>PRINTER</t>
  </si>
  <si>
    <t>MEMORY</t>
  </si>
  <si>
    <t>FAJAR AGUNG</t>
  </si>
  <si>
    <t>SOFTWARE</t>
  </si>
  <si>
    <t>AGIL MUHARAM</t>
  </si>
  <si>
    <t>PEROCESSOR</t>
  </si>
  <si>
    <t>EKA GAYO</t>
  </si>
  <si>
    <t>SISA
BARANG</t>
  </si>
  <si>
    <t>TOTAL
HARGA</t>
  </si>
  <si>
    <t>HEDDISK</t>
  </si>
  <si>
    <t>MONTOR</t>
  </si>
  <si>
    <t>UDIN</t>
  </si>
  <si>
    <t>FATHAN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</si>
  <si>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</si>
  <si>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</si>
  <si>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</si>
  <si>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</si>
  <si>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</si>
  <si>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</si>
  <si>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</si>
  <si>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</si>
  <si>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NILAI TERTINGGI</t>
  </si>
  <si>
    <t>TANGGAL HARI INI</t>
  </si>
  <si>
    <t>KODE
BARANG</t>
  </si>
  <si>
    <t>JUMLAH
BARANG</t>
  </si>
  <si>
    <t>p-205</t>
  </si>
  <si>
    <t>p-206</t>
  </si>
  <si>
    <t>p-207</t>
  </si>
  <si>
    <t>p-208</t>
  </si>
  <si>
    <t>p-209</t>
  </si>
  <si>
    <t>p-210</t>
  </si>
  <si>
    <t>SPETEC SDRAM PC 100 64 MB</t>
  </si>
  <si>
    <t>VISIPRO SDRAM 100 32 MB</t>
  </si>
  <si>
    <t>SPETEC SDRAM PC 100 32 MB</t>
  </si>
  <si>
    <t>APACER SDRAM PS 100 62 MB</t>
  </si>
  <si>
    <t>VISIPRO SDRAM 100 125 MB</t>
  </si>
  <si>
    <t>APACER SDRAM PS 100 512 MB</t>
  </si>
  <si>
    <t>JUMLAH
BAYAR</t>
  </si>
  <si>
    <t>PENDAPATAN</t>
  </si>
  <si>
    <t>DAFAR PENJUALAN</t>
  </si>
  <si>
    <t>PT.JAYA SENTOSA</t>
  </si>
  <si>
    <t>JL.MOCH KAHFI 1 NO.12 CUBUBUR</t>
  </si>
  <si>
    <t>NILAI UJIAN SMA INSAN PRATAMA</t>
  </si>
  <si>
    <t>NAMA SISWA</t>
  </si>
  <si>
    <t>MTK</t>
  </si>
  <si>
    <t>B.ING</t>
  </si>
  <si>
    <t>IPA</t>
  </si>
  <si>
    <t>TERTINGGI</t>
  </si>
  <si>
    <t>TERENDAH</t>
  </si>
  <si>
    <t>RATA-RATA</t>
  </si>
  <si>
    <t>HERMAWAN</t>
  </si>
  <si>
    <t>AMIEN RAIB</t>
  </si>
  <si>
    <t>MEGAWATI SUEMANTO PUTRI</t>
  </si>
  <si>
    <t>JUSUF KALLAH</t>
  </si>
  <si>
    <t>FAUZY BAADILAH</t>
  </si>
  <si>
    <t>ANDI PURNAMA</t>
  </si>
  <si>
    <t>ABDURROHMAN WAHID</t>
  </si>
  <si>
    <t>ROY SURYO</t>
  </si>
  <si>
    <t>RUHUD MAHMUD</t>
  </si>
  <si>
    <t>PRABOWO TUKJIAN</t>
  </si>
  <si>
    <t>WIRANTO SAID</t>
  </si>
  <si>
    <t>HIDAYAT NUR SAID</t>
  </si>
  <si>
    <t>HERMAN SUTEMPOL</t>
  </si>
  <si>
    <t>ABURIJAL BAKRIE</t>
  </si>
  <si>
    <t>HABIBIE</t>
  </si>
  <si>
    <t>B.indo</t>
  </si>
  <si>
    <t xml:space="preserve">JUMLAH </t>
  </si>
  <si>
    <t>NAMA BUAH</t>
  </si>
  <si>
    <t>SALAK</t>
  </si>
  <si>
    <t>PISANG</t>
  </si>
  <si>
    <t>PEPAYA</t>
  </si>
  <si>
    <t>ANGGUR</t>
  </si>
  <si>
    <t>NAMA PEMBELI</t>
  </si>
  <si>
    <t>ANDRA</t>
  </si>
  <si>
    <t>BEDU</t>
  </si>
  <si>
    <t>DENDI</t>
  </si>
  <si>
    <t>DINTO</t>
  </si>
  <si>
    <t>FIRMAN</t>
  </si>
  <si>
    <t>GALAM</t>
  </si>
  <si>
    <t xml:space="preserve">ISMI </t>
  </si>
  <si>
    <t>NELLA</t>
  </si>
  <si>
    <t>SAIBUM</t>
  </si>
  <si>
    <t>SANDRO</t>
  </si>
  <si>
    <t>SHINTA</t>
  </si>
  <si>
    <t>JUMLAH TERJUAL</t>
  </si>
  <si>
    <t>ELLO</t>
  </si>
  <si>
    <t>HARGA SATUAN</t>
  </si>
  <si>
    <t>TOTAL HARGA</t>
  </si>
  <si>
    <t>TOTAL HARGA KHUSUS ANGGUR</t>
  </si>
  <si>
    <t>TATAL HARGA KHUSUS PEPAYA</t>
  </si>
  <si>
    <t>TATAL HARGA KHUSUS STERAWBERRY</t>
  </si>
  <si>
    <t>TOTAL HARGA KHUSUS SALAK</t>
  </si>
  <si>
    <t>TOTAL HARGA KHUSUS PISANG</t>
  </si>
  <si>
    <t>STERAWBERRY</t>
  </si>
  <si>
    <t>DI ASCERRRR</t>
  </si>
  <si>
    <t>TANGAL</t>
  </si>
  <si>
    <t>4-maay-23</t>
  </si>
  <si>
    <t>jenis
BARANG</t>
  </si>
  <si>
    <t>BUKU TULIS</t>
  </si>
  <si>
    <t>SPIDOL</t>
  </si>
  <si>
    <t>PULPEN</t>
  </si>
  <si>
    <t>PENGAPUS</t>
  </si>
  <si>
    <t>BUKU GAMBAR</t>
  </si>
  <si>
    <t>BUKU GMBAR</t>
  </si>
  <si>
    <t xml:space="preserve">PULPEN </t>
  </si>
  <si>
    <t>SISA BARANG</t>
  </si>
  <si>
    <t>RESUME</t>
  </si>
  <si>
    <t>PENDAPAT</t>
  </si>
  <si>
    <t>BUKUB GAMBAR</t>
  </si>
  <si>
    <t>TOTAL PENJUALAN</t>
  </si>
  <si>
    <t>TERTIGI</t>
  </si>
  <si>
    <t>DATA PENJUALANTOKO ATK"LARIS MANIS</t>
  </si>
  <si>
    <t>NO</t>
  </si>
  <si>
    <t>NO IDUK</t>
  </si>
  <si>
    <t>NAMA MAHASISWA</t>
  </si>
  <si>
    <t>ABYAN DAUD WAJDI</t>
  </si>
  <si>
    <t>KHORON GANTENG</t>
  </si>
  <si>
    <t>DEDI PERBUSO</t>
  </si>
  <si>
    <t>FATHAN AZHAR</t>
  </si>
  <si>
    <t>WIBOWO REHAN</t>
  </si>
  <si>
    <t>ATTA HALILINTAR</t>
  </si>
  <si>
    <t>AL FATIH</t>
  </si>
  <si>
    <t>MINGGUS</t>
  </si>
  <si>
    <t>MAHMUD</t>
  </si>
  <si>
    <t>ASEP PRASONO</t>
  </si>
  <si>
    <t>NILAI</t>
  </si>
  <si>
    <t>MIN TEST</t>
  </si>
  <si>
    <t>FINAL TEST</t>
  </si>
  <si>
    <t>NILAI AKHIR</t>
  </si>
  <si>
    <t>KETERANGAN</t>
  </si>
  <si>
    <t>NILAI RATA-RATA</t>
  </si>
  <si>
    <t>NILAI TERENDAH</t>
  </si>
  <si>
    <t>JUMLAH MAHASISWA YANG MEMPEROLEH NILAI BESAR</t>
  </si>
  <si>
    <t>NILAI PRAKTEK MAHASISWA</t>
  </si>
  <si>
    <t>SEMESTER:|||</t>
  </si>
  <si>
    <t>NIK</t>
  </si>
  <si>
    <t>NAMA</t>
  </si>
  <si>
    <t>DEDI ABYAN</t>
  </si>
  <si>
    <t>MUHAMMAD AL FATIH</t>
  </si>
  <si>
    <t>MAHMUD FATHAN</t>
  </si>
  <si>
    <t>MINGGUS BANEZ</t>
  </si>
  <si>
    <t>KHIRON Gnteng</t>
  </si>
  <si>
    <t>JENIS
KELAMIN</t>
  </si>
  <si>
    <t>PENDIDIKAN
TERAKHIR</t>
  </si>
  <si>
    <t>GAJI
POKOK</t>
  </si>
  <si>
    <t>PRIA</t>
  </si>
  <si>
    <t>S2</t>
  </si>
  <si>
    <t>S3</t>
  </si>
  <si>
    <t>S1</t>
  </si>
  <si>
    <t>D3</t>
  </si>
  <si>
    <t>DATA KARYAWAN</t>
  </si>
  <si>
    <t>PT.SEJAHRA SENTOSA</t>
  </si>
  <si>
    <t>NAMA
PEMBELI</t>
  </si>
  <si>
    <t>TYPY MOBBIL</t>
  </si>
  <si>
    <t>MEREK
MOBIL</t>
  </si>
  <si>
    <t>HARGA 
JUAL</t>
  </si>
  <si>
    <t>CARA 
PEMBAYARAN</t>
  </si>
  <si>
    <t>DISCOUNT</t>
  </si>
  <si>
    <t>BONUS</t>
  </si>
  <si>
    <t>JUMLAH 
BAYAR</t>
  </si>
  <si>
    <t>DEDI FATHUR</t>
  </si>
  <si>
    <t>ALEXSANDEER</t>
  </si>
  <si>
    <t>BENY FANTIR</t>
  </si>
  <si>
    <t>NUEL</t>
  </si>
  <si>
    <t>ACSO</t>
  </si>
  <si>
    <t>KREDIT</t>
  </si>
  <si>
    <t>CASH</t>
  </si>
  <si>
    <t>ZZ</t>
  </si>
  <si>
    <t>SUB TOTAL</t>
  </si>
  <si>
    <t>PAJAK</t>
  </si>
  <si>
    <t>TOTAL BAYAR</t>
  </si>
  <si>
    <t>RATA-RATA PENJUALAN</t>
  </si>
  <si>
    <t>RUMUSE</t>
  </si>
  <si>
    <t>avanza</t>
  </si>
  <si>
    <t>xenia</t>
  </si>
  <si>
    <t>innova</t>
  </si>
  <si>
    <t>DATA PENJUALAN MOBIS CASH
"DHILER JAYA ABADI"</t>
  </si>
  <si>
    <t>PEMILIK TOKO:M AL-FATIH</t>
  </si>
  <si>
    <t>JABATAN</t>
  </si>
  <si>
    <t>GAJI</t>
  </si>
  <si>
    <t>TUNJANGAN</t>
  </si>
  <si>
    <t>TOTAL GAJI</t>
  </si>
  <si>
    <t>ATTA</t>
  </si>
  <si>
    <t>KIPLI</t>
  </si>
  <si>
    <t>UDIN ALI</t>
  </si>
  <si>
    <t>OPETOT</t>
  </si>
  <si>
    <t>ASEP</t>
  </si>
  <si>
    <t>STAFF</t>
  </si>
  <si>
    <t>OPERATOR</t>
  </si>
  <si>
    <t>MENEJER</t>
  </si>
  <si>
    <t>insan pratama</t>
  </si>
  <si>
    <t>insana</t>
  </si>
  <si>
    <t>insani</t>
  </si>
  <si>
    <t>insana pratama</t>
  </si>
  <si>
    <t>insani pratama</t>
  </si>
  <si>
    <t>left</t>
  </si>
  <si>
    <t>mid</t>
  </si>
  <si>
    <t>r</t>
  </si>
  <si>
    <t>NOMOR PESERTA</t>
  </si>
  <si>
    <t>00301-L01</t>
  </si>
  <si>
    <t>00302-P02</t>
  </si>
  <si>
    <t>01303-P05</t>
  </si>
  <si>
    <t>00302-P05</t>
  </si>
  <si>
    <t>00303-L04</t>
  </si>
  <si>
    <t>00301-L03</t>
  </si>
  <si>
    <t>PESERTA</t>
  </si>
  <si>
    <t>MINGUS</t>
  </si>
  <si>
    <t>ARIK</t>
  </si>
  <si>
    <t xml:space="preserve">ASEP </t>
  </si>
  <si>
    <t>EDI</t>
  </si>
  <si>
    <t>TANTO</t>
  </si>
  <si>
    <t>SHOLEH</t>
  </si>
  <si>
    <t>NAMA
PAKET</t>
  </si>
  <si>
    <t>BIAYA
PENDIDIKAN</t>
  </si>
  <si>
    <t>LEMBAGA KURSUS KOMPUTER
TERANG ABADI COMPUTER</t>
  </si>
  <si>
    <t>TOTAL</t>
  </si>
  <si>
    <t>KODE</t>
  </si>
  <si>
    <t>F-2018-A5000</t>
  </si>
  <si>
    <t>B-2018-I-3000</t>
  </si>
  <si>
    <t>F-2017-A-4500</t>
  </si>
  <si>
    <t>M-2018-I-9000</t>
  </si>
  <si>
    <t>M-2018-A-8000</t>
  </si>
  <si>
    <t>B-2017-I-2000</t>
  </si>
  <si>
    <t>JENIS BARANG</t>
  </si>
  <si>
    <t>TAHUN KADAR LUARSA</t>
  </si>
  <si>
    <t>PRODUKSI</t>
  </si>
  <si>
    <t>HARGA</t>
  </si>
  <si>
    <t>TOKO BARANG ABADI</t>
  </si>
  <si>
    <t xml:space="preserve">KODE BARANG </t>
  </si>
  <si>
    <t>MERK</t>
  </si>
  <si>
    <t>SANYO</t>
  </si>
  <si>
    <t>JVC</t>
  </si>
  <si>
    <t>POLITRON</t>
  </si>
  <si>
    <t>TOSHIBA</t>
  </si>
  <si>
    <t>SONY</t>
  </si>
  <si>
    <t>DAFTAR TERJUAL TELEVISI</t>
  </si>
  <si>
    <t>BANEZ</t>
  </si>
  <si>
    <t xml:space="preserve">FATHIR </t>
  </si>
  <si>
    <t>DAIMAL</t>
  </si>
  <si>
    <t>HARLAN</t>
  </si>
  <si>
    <t>JUMLAH UNIT</t>
  </si>
  <si>
    <t>KODE BARANG</t>
  </si>
  <si>
    <t>TV-01</t>
  </si>
  <si>
    <t>TV-02</t>
  </si>
  <si>
    <t>TV-03</t>
  </si>
  <si>
    <t>TV-04</t>
  </si>
  <si>
    <t>TV-05</t>
  </si>
  <si>
    <t>MERK TV</t>
  </si>
  <si>
    <t>JUMLAH BAYARAN</t>
  </si>
  <si>
    <t>laporan keuntungan mingguan</t>
  </si>
  <si>
    <t>tanggal hari ini</t>
  </si>
  <si>
    <t>kode 
barang</t>
  </si>
  <si>
    <t>nama barang</t>
  </si>
  <si>
    <t>merk
barang</t>
  </si>
  <si>
    <t>modal satuan</t>
  </si>
  <si>
    <t>harga jual
satuan</t>
  </si>
  <si>
    <t>jumlah
terjual</t>
  </si>
  <si>
    <t>modal pembelian</t>
  </si>
  <si>
    <t>total
penjualan</t>
  </si>
  <si>
    <t>laba</t>
  </si>
  <si>
    <t>bonus 
kriawan</t>
  </si>
  <si>
    <t>sl-01</t>
  </si>
  <si>
    <t>ka-01</t>
  </si>
  <si>
    <t>bl-02</t>
  </si>
  <si>
    <t>kk-04</t>
  </si>
  <si>
    <t>mc-05</t>
  </si>
  <si>
    <t>sl-02</t>
  </si>
  <si>
    <t>bl-01</t>
  </si>
  <si>
    <t>kk-03</t>
  </si>
  <si>
    <t>mc-03</t>
  </si>
  <si>
    <t>kk-05</t>
  </si>
  <si>
    <t>NAMA
 BARANG</t>
  </si>
  <si>
    <t>KODE 
BARANG</t>
  </si>
  <si>
    <t>SL</t>
  </si>
  <si>
    <t>KA</t>
  </si>
  <si>
    <t>BL</t>
  </si>
  <si>
    <t>KK</t>
  </si>
  <si>
    <t>MC</t>
  </si>
  <si>
    <t>STERIKA</t>
  </si>
  <si>
    <t>KIPAS ANGIN</t>
  </si>
  <si>
    <t>BLENDER</t>
  </si>
  <si>
    <t>KULKAS</t>
  </si>
  <si>
    <t>MESIN SUCI</t>
  </si>
  <si>
    <t>KADE MEREK</t>
  </si>
  <si>
    <t>NATIONAL</t>
  </si>
  <si>
    <t>PHILIPS</t>
  </si>
  <si>
    <t>LG</t>
  </si>
  <si>
    <t>SAMSUNG</t>
  </si>
  <si>
    <t>MULAN JAMELA</t>
  </si>
  <si>
    <t>ZAKIRA</t>
  </si>
  <si>
    <t>ASMINRANDAH</t>
  </si>
  <si>
    <t>DESI RATNASARI</t>
  </si>
  <si>
    <t>IBANEZ TIA PRATAMA</t>
  </si>
  <si>
    <t>RHAFFA</t>
  </si>
  <si>
    <t>ALI AL KHUDRI</t>
  </si>
  <si>
    <t>WIBOWO</t>
  </si>
  <si>
    <t>RARA NAZWA</t>
  </si>
  <si>
    <t>NASABAH</t>
  </si>
  <si>
    <t>TENIOR
(BULAN)</t>
  </si>
  <si>
    <t>SEPEDAH MOTOR</t>
  </si>
  <si>
    <t xml:space="preserve"> </t>
  </si>
  <si>
    <t>HARGA CASH</t>
  </si>
  <si>
    <t>KREDIT(ANGSURAN PER BULAN)</t>
  </si>
  <si>
    <t>ANG POKOK</t>
  </si>
  <si>
    <t>ANG BUNGA</t>
  </si>
  <si>
    <t>HARGA KREDIT</t>
  </si>
  <si>
    <t>ANG TOTAL</t>
  </si>
  <si>
    <t>SM1001</t>
  </si>
  <si>
    <t>SM1002</t>
  </si>
  <si>
    <t>SM1003</t>
  </si>
  <si>
    <t>SM1004</t>
  </si>
  <si>
    <t>SM1005</t>
  </si>
  <si>
    <t>SM1006</t>
  </si>
  <si>
    <t>SM1007</t>
  </si>
  <si>
    <t>SM1008</t>
  </si>
  <si>
    <t>SM1009</t>
  </si>
  <si>
    <t>SM1010</t>
  </si>
  <si>
    <t>SM1011</t>
  </si>
  <si>
    <t>SM1012</t>
  </si>
  <si>
    <t>YNO</t>
  </si>
  <si>
    <t>HBT</t>
  </si>
  <si>
    <t>SST</t>
  </si>
  <si>
    <t>YMI</t>
  </si>
  <si>
    <t>HSF</t>
  </si>
  <si>
    <t>MERK
SEPEDAH MOTOR</t>
  </si>
  <si>
    <t>BEAT</t>
  </si>
  <si>
    <t>SUPRA FIT</t>
  </si>
  <si>
    <t>SSG</t>
  </si>
  <si>
    <t>YJZ</t>
  </si>
  <si>
    <t>SHOGUN</t>
  </si>
  <si>
    <t>SMASH</t>
  </si>
  <si>
    <t>SATRIA</t>
  </si>
  <si>
    <t>JUPITER Z</t>
  </si>
  <si>
    <t xml:space="preserve">MIO </t>
  </si>
  <si>
    <t>NOUVO</t>
  </si>
  <si>
    <t>SSM</t>
  </si>
  <si>
    <t>kode kelas</t>
  </si>
  <si>
    <t>cl</t>
  </si>
  <si>
    <t>gd</t>
  </si>
  <si>
    <t>mo</t>
  </si>
  <si>
    <t>sp</t>
  </si>
  <si>
    <t>yp</t>
  </si>
  <si>
    <t>namakelas</t>
  </si>
  <si>
    <t>biaya</t>
  </si>
  <si>
    <t>jadwal</t>
  </si>
  <si>
    <t>status</t>
  </si>
  <si>
    <t>pelajar</t>
  </si>
  <si>
    <t>wirawasta</t>
  </si>
  <si>
    <t>swasta</t>
  </si>
  <si>
    <t>pns</t>
  </si>
  <si>
    <t>senin-selasa</t>
  </si>
  <si>
    <t>senin-rabu</t>
  </si>
  <si>
    <t>senin-kamis</t>
  </si>
  <si>
    <t>senin-jumat</t>
  </si>
  <si>
    <t>senin-sabtu</t>
  </si>
  <si>
    <t>graphic design</t>
  </si>
  <si>
    <t>microsoft office</t>
  </si>
  <si>
    <t>senior pragramming</t>
  </si>
  <si>
    <t>yunior pragramming</t>
  </si>
  <si>
    <t>computer introduction</t>
  </si>
  <si>
    <t>NO INDUK</t>
  </si>
  <si>
    <t>NAMA PESERTA</t>
  </si>
  <si>
    <t>NAMA KELAS</t>
  </si>
  <si>
    <t>STATUS</t>
  </si>
  <si>
    <t>PEKERJAAN</t>
  </si>
  <si>
    <t>HARI 
KURSUS</t>
  </si>
  <si>
    <t>BIAYA</t>
  </si>
  <si>
    <t>DISKON</t>
  </si>
  <si>
    <t>JUMLAH BIAYA</t>
  </si>
  <si>
    <t>MO-1007-2</t>
  </si>
  <si>
    <t>ATA</t>
  </si>
  <si>
    <t>CI-1016-1</t>
  </si>
  <si>
    <t>BAHAR</t>
  </si>
  <si>
    <t>YP-1005-4</t>
  </si>
  <si>
    <t>PUTRA</t>
  </si>
  <si>
    <t>SP-1013-2</t>
  </si>
  <si>
    <t>PUTRI</t>
  </si>
  <si>
    <t>MO-1018-2</t>
  </si>
  <si>
    <t>PARAS</t>
  </si>
  <si>
    <t>MO-1003-4</t>
  </si>
  <si>
    <t>PAATIR</t>
  </si>
  <si>
    <t>CI-1010-1</t>
  </si>
  <si>
    <t>RIJAL</t>
  </si>
  <si>
    <t>MO-1012-3</t>
  </si>
  <si>
    <t>PATIH</t>
  </si>
  <si>
    <t>GD-1008-3</t>
  </si>
  <si>
    <t>NOPAL</t>
  </si>
  <si>
    <t>GD-1014-2</t>
  </si>
  <si>
    <t>PANJI</t>
  </si>
  <si>
    <t>GD-1017-4</t>
  </si>
  <si>
    <t>ALWAN</t>
  </si>
  <si>
    <t>MO-10009-2</t>
  </si>
  <si>
    <t>RIFANDY</t>
  </si>
  <si>
    <t>SP-1015-1</t>
  </si>
  <si>
    <t>ARKAN</t>
  </si>
  <si>
    <t>SP-1004-3</t>
  </si>
  <si>
    <t>TIJA</t>
  </si>
  <si>
    <t>CI-1019-4</t>
  </si>
  <si>
    <t>IWAN</t>
  </si>
  <si>
    <t>a</t>
  </si>
  <si>
    <t>kode</t>
  </si>
  <si>
    <t>penerbit</t>
  </si>
  <si>
    <t>tahun</t>
  </si>
  <si>
    <t>jenis buku</t>
  </si>
  <si>
    <t>harga asal</t>
  </si>
  <si>
    <t xml:space="preserve">diskon </t>
  </si>
  <si>
    <t>harga baru</t>
  </si>
  <si>
    <t>al011987b</t>
  </si>
  <si>
    <t>elo51980c</t>
  </si>
  <si>
    <t>ba032004d</t>
  </si>
  <si>
    <t>alo12005b</t>
  </si>
  <si>
    <t>bp091997g</t>
  </si>
  <si>
    <t>elo52oo2c</t>
  </si>
  <si>
    <t>gm081989h</t>
  </si>
  <si>
    <t>alo11988b</t>
  </si>
  <si>
    <t>ga042005f</t>
  </si>
  <si>
    <t>al011992j</t>
  </si>
  <si>
    <t>se061986b</t>
  </si>
  <si>
    <t>mi051998c</t>
  </si>
  <si>
    <t>ao021999j</t>
  </si>
  <si>
    <t>el051994i</t>
  </si>
  <si>
    <t>al</t>
  </si>
  <si>
    <t>ao</t>
  </si>
  <si>
    <t>ga</t>
  </si>
  <si>
    <t>bp</t>
  </si>
  <si>
    <t>el</t>
  </si>
  <si>
    <t>gn</t>
  </si>
  <si>
    <t>gr</t>
  </si>
  <si>
    <t>mi</t>
  </si>
  <si>
    <t>se</t>
  </si>
  <si>
    <t>ba</t>
  </si>
  <si>
    <t>airlangga</t>
  </si>
  <si>
    <t>andi offset</t>
  </si>
  <si>
    <t>binara rupa aksara</t>
  </si>
  <si>
    <t>balai pustaka</t>
  </si>
  <si>
    <t>e;ex media</t>
  </si>
  <si>
    <t>gunung agung</t>
  </si>
  <si>
    <t>griya mediya</t>
  </si>
  <si>
    <t>gremedia</t>
  </si>
  <si>
    <t>mizan</t>
  </si>
  <si>
    <t>selemba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</si>
  <si>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</si>
  <si>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</si>
  <si>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</si>
  <si>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</si>
  <si>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</si>
  <si>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</si>
  <si>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</si>
  <si>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</si>
  <si>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</si>
  <si>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harga</t>
  </si>
  <si>
    <t>harga kamus</t>
  </si>
  <si>
    <t>politik</t>
  </si>
  <si>
    <t>ekonomi</t>
  </si>
  <si>
    <t>sosial</t>
  </si>
  <si>
    <t>budaya</t>
  </si>
  <si>
    <t>hukum</t>
  </si>
  <si>
    <t>agama</t>
  </si>
  <si>
    <t xml:space="preserve">musik </t>
  </si>
  <si>
    <t>olah raga</t>
  </si>
  <si>
    <t>sejarah</t>
  </si>
  <si>
    <t>teknik</t>
  </si>
  <si>
    <t>bahasa</t>
  </si>
  <si>
    <t>PENERBIT</t>
  </si>
  <si>
    <t>TAHUN</t>
  </si>
  <si>
    <t>JENIS BUKU</t>
  </si>
  <si>
    <t>HARGA ASAL</t>
  </si>
  <si>
    <t xml:space="preserve">DISKON </t>
  </si>
  <si>
    <t>HARGA BARU</t>
  </si>
  <si>
    <t>AL011987B</t>
  </si>
  <si>
    <t>AIRLANGGA</t>
  </si>
  <si>
    <t>POLITIK</t>
  </si>
  <si>
    <t>RP60,200</t>
  </si>
  <si>
    <t>RP54,180</t>
  </si>
  <si>
    <t>EL051980C</t>
  </si>
  <si>
    <t>ELEXE MEDIA</t>
  </si>
  <si>
    <t>HUKUM</t>
  </si>
  <si>
    <t>RP58,600</t>
  </si>
  <si>
    <t>BA032004D</t>
  </si>
  <si>
    <t>BINARUPA AKSARA</t>
  </si>
  <si>
    <t xml:space="preserve">SOSIAL </t>
  </si>
  <si>
    <t>RP53,000</t>
  </si>
  <si>
    <t>AL012005B</t>
  </si>
  <si>
    <t>BP091997G</t>
  </si>
  <si>
    <t>BALAI PUSTAKA</t>
  </si>
  <si>
    <t xml:space="preserve">SEJARAH </t>
  </si>
  <si>
    <t>RP39,200</t>
  </si>
  <si>
    <t>EL052002C</t>
  </si>
  <si>
    <t>GM081989H</t>
  </si>
  <si>
    <t>GRIYA MEDIA</t>
  </si>
  <si>
    <t>OLAHRAGA</t>
  </si>
  <si>
    <t>RP34,600</t>
  </si>
  <si>
    <t>AL011988B</t>
  </si>
  <si>
    <t>GA042005F</t>
  </si>
  <si>
    <t>GUNUNG AGUNG</t>
  </si>
  <si>
    <t>BUDAYA</t>
  </si>
  <si>
    <t>RP43,800</t>
  </si>
  <si>
    <t>RP37,230</t>
  </si>
  <si>
    <t>AL011992J</t>
  </si>
  <si>
    <t>RP25,400</t>
  </si>
  <si>
    <t>RP22,860</t>
  </si>
  <si>
    <t>SE061986B</t>
  </si>
  <si>
    <t>SALEMBA EMPAT</t>
  </si>
  <si>
    <t xml:space="preserve">AGAMA </t>
  </si>
  <si>
    <t>MI051998C</t>
  </si>
  <si>
    <t>MLZAN</t>
  </si>
  <si>
    <t>AO021999J</t>
  </si>
  <si>
    <t>ANDI OFFSET</t>
  </si>
  <si>
    <t>EKONOMI</t>
  </si>
  <si>
    <t>EL051994I</t>
  </si>
  <si>
    <t>RP30,000</t>
  </si>
  <si>
    <t xml:space="preserve">KODE </t>
  </si>
  <si>
    <t>AL</t>
  </si>
  <si>
    <t>A</t>
  </si>
  <si>
    <t>RP67,800</t>
  </si>
  <si>
    <t>AO</t>
  </si>
  <si>
    <t>B</t>
  </si>
  <si>
    <t>BA</t>
  </si>
  <si>
    <t>C</t>
  </si>
  <si>
    <t>BP</t>
  </si>
  <si>
    <t>D</t>
  </si>
  <si>
    <t>EL</t>
  </si>
  <si>
    <t>E</t>
  </si>
  <si>
    <t>RP48,400</t>
  </si>
  <si>
    <t>GA</t>
  </si>
  <si>
    <t>F</t>
  </si>
  <si>
    <t>GM</t>
  </si>
  <si>
    <t>G</t>
  </si>
  <si>
    <t xml:space="preserve">MUSIK </t>
  </si>
  <si>
    <t>GR</t>
  </si>
  <si>
    <t>GRAMEDIA</t>
  </si>
  <si>
    <t>H</t>
  </si>
  <si>
    <t>MI</t>
  </si>
  <si>
    <t>I</t>
  </si>
  <si>
    <t>SE</t>
  </si>
  <si>
    <t>J</t>
  </si>
  <si>
    <t>TEKNIK</t>
  </si>
  <si>
    <t>BAHASA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</si>
</sst>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\ &quot;Keping&quot;"/>
    <numFmt numFmtId="165" formatCode="_-[$Rp-421]* #,##0_-;\-[$Rp-421]* #,##0_-;_-[$Rp-421]* &quot;-&quot;_-;_-@_-"/>
    <numFmt numFmtId="166" formatCode="_(* #,##0_);_(* \(#,##0\);_(* &quot;-&quot;??_);_(@_)"/>
  </numFmts>
  <fonts count="20" x14ac:knownFonts="1"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2E75B5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rgb="FFFFFFFF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i/>
      <sz val="16"/>
      <color rgb="FF000000"/>
      <name val="Calibri"/>
      <family val="2"/>
      <scheme val="minor"/>
    </font>
    <font>
      <b/>
      <i/>
      <sz val="14"/>
      <color rgb="FF000000"/>
      <name val="Algerian"/>
      <family val="5"/>
    </font>
    <font>
      <sz val="11"/>
      <color rgb="FF000000"/>
      <name val="Bookman Old Style"/>
      <family val="1"/>
    </font>
    <font>
      <b/>
      <i/>
      <sz val="11"/>
      <color rgb="FF000000"/>
      <name val="Bookman Old Style"/>
      <family val="1"/>
    </font>
    <font>
      <b/>
      <i/>
      <sz val="12"/>
      <color rgb="FF000000"/>
      <name val="Bookman Old Style"/>
      <family val="1"/>
    </font>
    <font>
      <b/>
      <i/>
      <sz val="14"/>
      <color rgb="FFFFFFFF"/>
      <name val="Bookman Old Style"/>
      <family val="1"/>
    </font>
    <font>
      <b/>
      <i/>
      <sz val="14"/>
      <color rgb="FFC55A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u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1E4E79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2E75B5"/>
        <bgColor indexed="64"/>
      </patternFill>
    </fill>
    <fill>
      <patternFill patternType="solid">
        <fgColor rgb="FFFEE59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7F6000"/>
        <bgColor indexed="64"/>
      </patternFill>
    </fill>
    <fill>
      <patternFill patternType="solid">
        <fgColor rgb="FF1F3864"/>
        <bgColor indexed="64"/>
      </patternFill>
    </fill>
    <fill>
      <patternFill patternType="solid">
        <fgColor rgb="FF8496B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165" fontId="0" fillId="0" borderId="0" xfId="0" applyNumberFormat="1"/>
    <xf numFmtId="0" fontId="0" fillId="0" borderId="2" xfId="0" applyBorder="1"/>
    <xf numFmtId="165" fontId="0" fillId="0" borderId="2" xfId="0" applyNumberFormat="1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/>
    <xf numFmtId="0" fontId="5" fillId="2" borderId="1" xfId="0" applyFont="1" applyFill="1" applyBorder="1"/>
    <xf numFmtId="0" fontId="4" fillId="0" borderId="1" xfId="0" applyFont="1" applyBorder="1"/>
    <xf numFmtId="0" fontId="0" fillId="0" borderId="1" xfId="0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14" fontId="5" fillId="5" borderId="0" xfId="0" applyNumberFormat="1" applyFont="1" applyFill="1"/>
    <xf numFmtId="0" fontId="5" fillId="6" borderId="1" xfId="0" applyFont="1" applyFill="1" applyBorder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2" fillId="0" borderId="0" xfId="0" applyFont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2" fillId="0" borderId="0" xfId="0" applyFont="1"/>
    <xf numFmtId="0" fontId="12" fillId="0" borderId="1" xfId="0" applyFont="1" applyBorder="1"/>
    <xf numFmtId="0" fontId="0" fillId="0" borderId="1" xfId="0" applyBorder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11" xfId="0" applyBorder="1"/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10" borderId="1" xfId="0" applyFill="1" applyBorder="1"/>
    <xf numFmtId="0" fontId="0" fillId="10" borderId="11" xfId="0" applyFill="1" applyBorder="1"/>
    <xf numFmtId="0" fontId="6" fillId="10" borderId="1" xfId="0" applyFont="1" applyFill="1" applyBorder="1" applyAlignment="1">
      <alignment vertical="center"/>
    </xf>
    <xf numFmtId="0" fontId="6" fillId="10" borderId="1" xfId="0" applyFont="1" applyFill="1" applyBorder="1"/>
    <xf numFmtId="3" fontId="0" fillId="0" borderId="1" xfId="0" applyNumberFormat="1" applyBorder="1"/>
    <xf numFmtId="0" fontId="0" fillId="0" borderId="1" xfId="0" applyBorder="1"/>
    <xf numFmtId="0" fontId="0" fillId="0" borderId="1" xfId="0" applyBorder="1"/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0" borderId="1" xfId="0" applyNumberFormat="1" applyBorder="1"/>
    <xf numFmtId="166" fontId="0" fillId="0" borderId="1" xfId="0" applyNumberFormat="1" applyBorder="1"/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2" xfId="0" applyBorder="1"/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5" fillId="5" borderId="0" xfId="0" applyFont="1" applyFill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0" xfId="0" applyBorder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3" borderId="1" xfId="0" applyFont="1" applyFill="1" applyBorder="1"/>
    <xf numFmtId="0" fontId="2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9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6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0000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t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tihan 1"/>
      <sheetName val="latihan 2"/>
      <sheetName val="latihan 3"/>
      <sheetName val="latihan 4"/>
      <sheetName val="latihan 5"/>
      <sheetName val="latihan 6"/>
      <sheetName val="latihan 7"/>
      <sheetName val="latihan 8"/>
      <sheetName val="latihan 9"/>
      <sheetName val="latihan 10"/>
      <sheetName val="latihan 11"/>
      <sheetName val="latihan 12"/>
      <sheetName val="latihan 13"/>
      <sheetName val="latihan 14"/>
      <sheetName val="latihan 15"/>
      <sheetName val="Sheet3"/>
      <sheetName val="Sheet2"/>
      <sheetName val="testing"/>
      <sheetName val="latihan IF"/>
      <sheetName val="latihan mid,left,ri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">
          <cell r="C5" t="str">
            <v>KODE 
KELAS</v>
          </cell>
          <cell r="D5" t="str">
            <v>NAMA 
KELAS</v>
          </cell>
          <cell r="E5" t="str">
            <v>BIAYA</v>
          </cell>
          <cell r="F5" t="str">
            <v>JADWAL</v>
          </cell>
          <cell r="I5" t="str">
            <v xml:space="preserve">STATUS </v>
          </cell>
          <cell r="J5" t="str">
            <v>1</v>
          </cell>
          <cell r="K5" t="str">
            <v>2</v>
          </cell>
          <cell r="L5" t="str">
            <v>3</v>
          </cell>
          <cell r="M5" t="str">
            <v>4</v>
          </cell>
        </row>
        <row r="6">
          <cell r="C6" t="str">
            <v>CI</v>
          </cell>
          <cell r="D6" t="str">
            <v>COMPUTER INTRODUCTION</v>
          </cell>
          <cell r="E6">
            <v>100000</v>
          </cell>
          <cell r="F6" t="str">
            <v>SENIN-SELASA</v>
          </cell>
          <cell r="I6" t="str">
            <v>PEKERJAAN</v>
          </cell>
          <cell r="J6" t="str">
            <v>PELAJAR</v>
          </cell>
          <cell r="K6" t="str">
            <v>WIRAUSAHA</v>
          </cell>
          <cell r="L6" t="str">
            <v>SWASTA</v>
          </cell>
          <cell r="M6" t="str">
            <v>PNS</v>
          </cell>
        </row>
        <row r="7">
          <cell r="C7" t="str">
            <v>GD</v>
          </cell>
          <cell r="D7" t="str">
            <v>GRAPHIC DESIGN</v>
          </cell>
          <cell r="E7">
            <v>450000</v>
          </cell>
          <cell r="F7" t="str">
            <v>SENIN-RABU</v>
          </cell>
        </row>
        <row r="8">
          <cell r="C8" t="str">
            <v>MO</v>
          </cell>
          <cell r="D8" t="str">
            <v>MICROSOFT OFFICE</v>
          </cell>
          <cell r="E8">
            <v>300000</v>
          </cell>
          <cell r="F8" t="str">
            <v>SENIN-KAMIS</v>
          </cell>
        </row>
        <row r="9">
          <cell r="C9" t="str">
            <v>SP</v>
          </cell>
          <cell r="D9" t="str">
            <v>SENIOR PROGRAMMING</v>
          </cell>
          <cell r="E9">
            <v>600000</v>
          </cell>
          <cell r="F9" t="str">
            <v>SENIN-JUMAT</v>
          </cell>
        </row>
        <row r="10">
          <cell r="C10" t="str">
            <v>YP</v>
          </cell>
          <cell r="D10" t="str">
            <v>YUNIOR PROGRAMMING</v>
          </cell>
          <cell r="E10">
            <v>300000</v>
          </cell>
          <cell r="F10" t="str">
            <v>SENIN-SABTU</v>
          </cell>
        </row>
      </sheetData>
      <sheetData sheetId="16"/>
      <sheetData sheetId="17"/>
      <sheetData sheetId="18"/>
      <sheetData sheetId="19"/>
    </sheetDataSet>
  </externalBook>
</externalLink>
</file>

<file path=xl/tables/table1.xml><?xml version="1.0" encoding="utf-8"?>
<table xmlns="http://schemas.openxmlformats.org/spreadsheetml/2006/main" id="1" name="Table1" displayName="Table1" ref="A2:H3" totalsRowShown="0" headerRowDxfId="10" dataDxfId="9">
  <autoFilter ref="A2:H3"/>
  <tableColumns count="8">
    <tableColumn id="1" name="Column1" dataDxfId="8"/>
    <tableColumn id="2" name="Column2" dataDxfId="7"/>
    <tableColumn id="3" name="Column3" dataDxfId="6"/>
    <tableColumn id="4" name="Column4" dataDxfId="5"/>
    <tableColumn id="5" name="Column5" dataDxfId="4"/>
    <tableColumn id="6" name="Column6" dataDxfId="3"/>
    <tableColumn id="7" name="Column7" dataDxfId="2"/>
    <tableColumn id="8" name="Column8" dataDxfId="1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L12" sqref="L12"/>
    </sheetView>
  </sheetViews>
  <sheetFormatPr defaultRowHeight="15" x14ac:dyDescent="0.25"/>
  <cols>
    <col min="1" max="1" width="11" customWidth="1"/>
    <col min="2" max="2" width="13.140625" customWidth="1"/>
    <col min="3" max="3" width="16.28515625" customWidth="1"/>
    <col min="4" max="8" width="11" customWidth="1"/>
  </cols>
  <sheetData>
    <row r="1" spans="1:9" x14ac:dyDescent="0.25">
      <c r="C1" s="1"/>
    </row>
    <row r="2" spans="1:9" x14ac:dyDescent="0.25">
      <c r="A2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</row>
    <row r="3" spans="1:9" ht="30" x14ac:dyDescent="0.2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16</v>
      </c>
      <c r="H3" s="3" t="s">
        <v>17</v>
      </c>
    </row>
    <row r="4" spans="1:9" x14ac:dyDescent="0.25">
      <c r="A4" s="4">
        <v>1</v>
      </c>
      <c r="B4" s="2" t="s">
        <v>6</v>
      </c>
      <c r="C4" s="2" t="s">
        <v>7</v>
      </c>
      <c r="D4" s="2">
        <v>10</v>
      </c>
      <c r="E4" s="2">
        <v>2000000</v>
      </c>
      <c r="F4" s="2">
        <v>6</v>
      </c>
      <c r="G4" s="2">
        <f t="shared" ref="G4:G10" si="0">D4-F4</f>
        <v>4</v>
      </c>
      <c r="H4" s="2">
        <f t="shared" ref="H4:H10" si="1">D4*E4</f>
        <v>20000000</v>
      </c>
    </row>
    <row r="5" spans="1:9" x14ac:dyDescent="0.25">
      <c r="A5" s="4">
        <v>2</v>
      </c>
      <c r="B5" s="2" t="s">
        <v>9</v>
      </c>
      <c r="C5" s="2" t="s">
        <v>8</v>
      </c>
      <c r="D5" s="2">
        <v>15</v>
      </c>
      <c r="E5" s="2">
        <v>500000</v>
      </c>
      <c r="F5" s="2">
        <v>5</v>
      </c>
      <c r="G5" s="2">
        <f t="shared" si="0"/>
        <v>10</v>
      </c>
      <c r="H5" s="2">
        <f t="shared" si="1"/>
        <v>7500000</v>
      </c>
    </row>
    <row r="6" spans="1:9" x14ac:dyDescent="0.25">
      <c r="A6" s="4">
        <v>3</v>
      </c>
      <c r="B6" s="2" t="s">
        <v>10</v>
      </c>
      <c r="C6" s="2" t="s">
        <v>11</v>
      </c>
      <c r="D6" s="2">
        <v>31</v>
      </c>
      <c r="E6" s="2">
        <v>200000</v>
      </c>
      <c r="F6" s="2">
        <v>18</v>
      </c>
      <c r="G6" s="2">
        <f t="shared" si="0"/>
        <v>13</v>
      </c>
      <c r="H6" s="2">
        <f t="shared" si="1"/>
        <v>6200000</v>
      </c>
    </row>
    <row r="7" spans="1:9" x14ac:dyDescent="0.25">
      <c r="A7" s="4">
        <v>4</v>
      </c>
      <c r="B7" s="2" t="s">
        <v>12</v>
      </c>
      <c r="C7" s="2" t="s">
        <v>13</v>
      </c>
      <c r="D7" s="2">
        <v>5</v>
      </c>
      <c r="E7" s="2">
        <v>150000</v>
      </c>
      <c r="F7" s="2">
        <v>3</v>
      </c>
      <c r="G7" s="2">
        <f t="shared" si="0"/>
        <v>2</v>
      </c>
      <c r="H7" s="2">
        <f t="shared" si="1"/>
        <v>750000</v>
      </c>
    </row>
    <row r="8" spans="1:9" x14ac:dyDescent="0.25">
      <c r="A8" s="4">
        <v>5</v>
      </c>
      <c r="B8" s="2" t="s">
        <v>14</v>
      </c>
      <c r="C8" s="2" t="s">
        <v>15</v>
      </c>
      <c r="D8" s="2">
        <v>45</v>
      </c>
      <c r="E8" s="2">
        <v>1500000</v>
      </c>
      <c r="F8" s="2">
        <v>30</v>
      </c>
      <c r="G8" s="2">
        <f t="shared" si="0"/>
        <v>15</v>
      </c>
      <c r="H8" s="2">
        <f t="shared" si="1"/>
        <v>67500000</v>
      </c>
    </row>
    <row r="9" spans="1:9" x14ac:dyDescent="0.25">
      <c r="A9" s="4">
        <v>6</v>
      </c>
      <c r="B9" s="2" t="s">
        <v>18</v>
      </c>
      <c r="C9" s="2" t="s">
        <v>20</v>
      </c>
      <c r="D9" s="2">
        <v>10</v>
      </c>
      <c r="E9" s="2">
        <v>450000</v>
      </c>
      <c r="F9" s="2">
        <v>6</v>
      </c>
      <c r="G9" s="2">
        <f t="shared" si="0"/>
        <v>4</v>
      </c>
      <c r="H9" s="2">
        <f t="shared" si="1"/>
        <v>4500000</v>
      </c>
    </row>
    <row r="10" spans="1:9" x14ac:dyDescent="0.25">
      <c r="A10" s="4">
        <v>7</v>
      </c>
      <c r="B10" s="2" t="s">
        <v>19</v>
      </c>
      <c r="C10" s="2" t="s">
        <v>21</v>
      </c>
      <c r="D10" s="2">
        <v>9</v>
      </c>
      <c r="E10" s="2">
        <v>250000</v>
      </c>
      <c r="F10" s="2">
        <v>4</v>
      </c>
      <c r="G10" s="2">
        <f t="shared" si="0"/>
        <v>5</v>
      </c>
      <c r="H10" s="2">
        <f t="shared" si="1"/>
        <v>2250000</v>
      </c>
    </row>
    <row r="12" spans="1:9" x14ac:dyDescent="0.25">
      <c r="B12" s="91" t="s">
        <v>30</v>
      </c>
      <c r="C12" s="91"/>
      <c r="D12" s="91"/>
      <c r="E12" s="2">
        <f>MAX(D4:D10)</f>
        <v>45</v>
      </c>
      <c r="F12" s="2">
        <f>MAX(E4:E10)</f>
        <v>2000000</v>
      </c>
      <c r="G12" s="2">
        <f>MAX(F4:F10)</f>
        <v>30</v>
      </c>
      <c r="H12" s="2">
        <f>MAX(G4:G10)</f>
        <v>15</v>
      </c>
      <c r="I12" s="2">
        <f>MAX(H4:H10)</f>
        <v>67500000</v>
      </c>
    </row>
    <row r="13" spans="1:9" x14ac:dyDescent="0.25">
      <c r="B13" s="91" t="s">
        <v>30</v>
      </c>
      <c r="C13" s="91"/>
      <c r="D13" s="91"/>
      <c r="E13" s="2">
        <f>MIN(D4:D10)</f>
        <v>5</v>
      </c>
      <c r="F13" s="2">
        <f>MIN(E4:E10)</f>
        <v>150000</v>
      </c>
      <c r="G13" s="2">
        <f>MIN(F4:F10)</f>
        <v>3</v>
      </c>
      <c r="H13" s="2">
        <f>MIN(G4:G10)</f>
        <v>2</v>
      </c>
      <c r="I13" s="2">
        <f>MIN(H4:H10)</f>
        <v>750000</v>
      </c>
    </row>
    <row r="14" spans="1:9" x14ac:dyDescent="0.25">
      <c r="B14" s="91" t="s">
        <v>30</v>
      </c>
      <c r="C14" s="91"/>
      <c r="D14" s="91"/>
      <c r="E14" s="2">
        <f>AVERAGE(D4:D10)</f>
        <v>17.8571428571429</v>
      </c>
      <c r="F14" s="2">
        <f>AVERAGE(E4:E10)</f>
        <v>721428.57142857101</v>
      </c>
      <c r="G14" s="2">
        <f>AVERAGE(F4:F10)</f>
        <v>10.285714285714301</v>
      </c>
      <c r="H14" s="2">
        <f>AVERAGE(G4:G10)</f>
        <v>7.5714285714285703</v>
      </c>
      <c r="I14" s="2">
        <f>AVERAGE(H4:H10)</f>
        <v>15528571.428571399</v>
      </c>
    </row>
    <row r="15" spans="1:9" x14ac:dyDescent="0.25">
      <c r="B15" s="91" t="s">
        <v>30</v>
      </c>
      <c r="C15" s="91"/>
      <c r="D15" s="91"/>
      <c r="E15" s="2">
        <f>SUM(D4:D10)</f>
        <v>125</v>
      </c>
      <c r="F15" s="2">
        <f>SUM(E4:E10)</f>
        <v>5050000</v>
      </c>
      <c r="G15" s="2">
        <f>SUM(F4:F10)</f>
        <v>72</v>
      </c>
      <c r="H15" s="2">
        <f>SUM(G4:G10)</f>
        <v>53</v>
      </c>
      <c r="I15" s="2">
        <f>SUM(H4:H10)</f>
        <v>108700000</v>
      </c>
    </row>
  </sheetData>
  <mergeCells count="4">
    <mergeCell ref="B12:D12"/>
    <mergeCell ref="B13:D13"/>
    <mergeCell ref="B14:D14"/>
    <mergeCell ref="B15:D15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62"/>
  <sheetViews>
    <sheetView topLeftCell="B1" workbookViewId="0">
      <selection activeCell="N16" sqref="N16"/>
    </sheetView>
  </sheetViews>
  <sheetFormatPr defaultRowHeight="15" x14ac:dyDescent="0.25"/>
  <cols>
    <col min="4" max="4" width="7.140625" customWidth="1"/>
  </cols>
  <sheetData>
    <row r="1" spans="4:22" ht="15" customHeight="1" x14ac:dyDescent="0.25">
      <c r="H1" s="36"/>
      <c r="I1" s="36"/>
      <c r="J1" s="36"/>
      <c r="K1" s="36"/>
      <c r="L1" s="36"/>
      <c r="M1" s="36"/>
    </row>
    <row r="2" spans="4:22" ht="15" customHeight="1" x14ac:dyDescent="0.25">
      <c r="H2" s="145" t="s">
        <v>185</v>
      </c>
      <c r="I2" s="146"/>
      <c r="J2" s="146"/>
      <c r="K2" s="146"/>
      <c r="L2" s="146"/>
      <c r="M2" s="146"/>
      <c r="N2" s="146"/>
      <c r="O2" s="146"/>
      <c r="P2" s="146"/>
      <c r="Q2" s="146"/>
      <c r="R2" s="146"/>
    </row>
    <row r="3" spans="4:22" ht="15" customHeight="1" x14ac:dyDescent="0.25"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</row>
    <row r="4" spans="4:22" ht="15" customHeight="1" x14ac:dyDescent="0.25">
      <c r="D4" s="39"/>
      <c r="E4" s="144" t="s">
        <v>121</v>
      </c>
      <c r="F4" s="143" t="s">
        <v>161</v>
      </c>
      <c r="G4" s="144"/>
      <c r="H4" s="147" t="s">
        <v>162</v>
      </c>
      <c r="I4" s="147"/>
      <c r="J4" s="148" t="s">
        <v>163</v>
      </c>
      <c r="K4" s="147"/>
      <c r="L4" s="148" t="s">
        <v>164</v>
      </c>
      <c r="M4" s="147"/>
      <c r="N4" s="143" t="s">
        <v>165</v>
      </c>
      <c r="O4" s="144"/>
      <c r="P4" s="144" t="s">
        <v>166</v>
      </c>
      <c r="Q4" s="144"/>
      <c r="R4" s="144" t="s">
        <v>167</v>
      </c>
      <c r="S4" s="144"/>
      <c r="T4" s="143" t="s">
        <v>168</v>
      </c>
      <c r="U4" s="144"/>
      <c r="V4" s="39"/>
    </row>
    <row r="5" spans="4:22" x14ac:dyDescent="0.25">
      <c r="D5" s="39"/>
      <c r="E5" s="144"/>
      <c r="F5" s="144"/>
      <c r="G5" s="144"/>
      <c r="H5" s="147"/>
      <c r="I5" s="147"/>
      <c r="J5" s="147"/>
      <c r="K5" s="147"/>
      <c r="L5" s="147"/>
      <c r="M5" s="147"/>
      <c r="N5" s="144"/>
      <c r="O5" s="144"/>
      <c r="P5" s="144"/>
      <c r="Q5" s="144"/>
      <c r="R5" s="144"/>
      <c r="S5" s="144"/>
      <c r="T5" s="144"/>
      <c r="U5" s="144"/>
      <c r="V5" s="39"/>
    </row>
    <row r="6" spans="4:22" x14ac:dyDescent="0.25">
      <c r="D6" s="39"/>
      <c r="E6" s="40">
        <v>1</v>
      </c>
      <c r="F6" s="142" t="s">
        <v>146</v>
      </c>
      <c r="G6" s="142"/>
      <c r="H6" s="141">
        <v>2</v>
      </c>
      <c r="I6" s="141"/>
      <c r="J6" s="142" t="str">
        <f t="shared" ref="J6:J12" si="0">IF(H6=1,"avanza",IF(H6=2,"xenia",IF(H6=3,"innova")))</f>
        <v>xenia</v>
      </c>
      <c r="K6" s="142"/>
      <c r="L6" s="141" t="str">
        <f t="shared" ref="L6:L12" si="1">IF(J6="xenia","250000000",IF(J6="avanza","200000000","400000000"))</f>
        <v>250000000</v>
      </c>
      <c r="M6" s="141"/>
      <c r="N6" s="141" t="s">
        <v>174</v>
      </c>
      <c r="O6" s="141"/>
      <c r="P6" s="140" t="str">
        <f t="shared" ref="P6:P12" si="2">IF(N6="KREDIT","0%","10%")</f>
        <v>0%</v>
      </c>
      <c r="Q6" s="140"/>
      <c r="R6" s="140" t="str">
        <f t="shared" ref="R6:R12" si="3">IF(J6="AVANZA","ZX",IF(J6="XENIA","VESMET","ZX10"))</f>
        <v>VESMET</v>
      </c>
      <c r="S6" s="140"/>
      <c r="T6" s="140" t="e">
        <f t="shared" ref="T6:T12" si="4">L6*(1-P6)</f>
        <v>#VALUE!</v>
      </c>
      <c r="U6" s="140"/>
      <c r="V6" s="39"/>
    </row>
    <row r="7" spans="4:22" x14ac:dyDescent="0.25">
      <c r="D7" s="39"/>
      <c r="E7" s="40">
        <v>2</v>
      </c>
      <c r="F7" s="142" t="s">
        <v>169</v>
      </c>
      <c r="G7" s="142"/>
      <c r="H7" s="141">
        <v>1</v>
      </c>
      <c r="I7" s="141"/>
      <c r="J7" s="142" t="str">
        <f t="shared" si="0"/>
        <v>avanza</v>
      </c>
      <c r="K7" s="142"/>
      <c r="L7" s="141" t="str">
        <f t="shared" si="1"/>
        <v>200000000</v>
      </c>
      <c r="M7" s="141"/>
      <c r="N7" s="141" t="s">
        <v>175</v>
      </c>
      <c r="O7" s="141"/>
      <c r="P7" s="140" t="str">
        <f t="shared" si="2"/>
        <v>10%</v>
      </c>
      <c r="Q7" s="140"/>
      <c r="R7" s="140" t="str">
        <f t="shared" si="3"/>
        <v>ZX</v>
      </c>
      <c r="S7" s="140"/>
      <c r="T7" s="140" t="e">
        <f t="shared" si="4"/>
        <v>#VALUE!</v>
      </c>
      <c r="U7" s="140"/>
      <c r="V7" s="39"/>
    </row>
    <row r="8" spans="4:22" x14ac:dyDescent="0.25">
      <c r="D8" s="39"/>
      <c r="E8" s="41">
        <v>3</v>
      </c>
      <c r="F8" s="142" t="s">
        <v>148</v>
      </c>
      <c r="G8" s="142"/>
      <c r="H8" s="140">
        <v>3</v>
      </c>
      <c r="I8" s="140"/>
      <c r="J8" s="142" t="str">
        <f t="shared" si="0"/>
        <v>innova</v>
      </c>
      <c r="K8" s="142"/>
      <c r="L8" s="141" t="str">
        <f t="shared" si="1"/>
        <v>400000000</v>
      </c>
      <c r="M8" s="141"/>
      <c r="N8" s="141" t="s">
        <v>175</v>
      </c>
      <c r="O8" s="141"/>
      <c r="P8" s="140" t="str">
        <f t="shared" si="2"/>
        <v>10%</v>
      </c>
      <c r="Q8" s="140"/>
      <c r="R8" s="140" t="str">
        <f t="shared" si="3"/>
        <v>ZX10</v>
      </c>
      <c r="S8" s="140"/>
      <c r="T8" s="140" t="e">
        <f t="shared" si="4"/>
        <v>#VALUE!</v>
      </c>
      <c r="U8" s="140"/>
      <c r="V8" s="39"/>
    </row>
    <row r="9" spans="4:22" x14ac:dyDescent="0.25">
      <c r="D9" s="39"/>
      <c r="E9" s="41">
        <v>4</v>
      </c>
      <c r="F9" s="142" t="s">
        <v>170</v>
      </c>
      <c r="G9" s="142"/>
      <c r="H9" s="140">
        <v>1</v>
      </c>
      <c r="I9" s="140"/>
      <c r="J9" s="142" t="str">
        <f t="shared" si="0"/>
        <v>avanza</v>
      </c>
      <c r="K9" s="142"/>
      <c r="L9" s="141" t="str">
        <f t="shared" si="1"/>
        <v>200000000</v>
      </c>
      <c r="M9" s="141"/>
      <c r="N9" s="141" t="s">
        <v>174</v>
      </c>
      <c r="O9" s="141"/>
      <c r="P9" s="140" t="str">
        <f t="shared" si="2"/>
        <v>0%</v>
      </c>
      <c r="Q9" s="140"/>
      <c r="R9" s="140" t="str">
        <f t="shared" si="3"/>
        <v>ZX</v>
      </c>
      <c r="S9" s="140"/>
      <c r="T9" s="140" t="e">
        <f t="shared" si="4"/>
        <v>#VALUE!</v>
      </c>
      <c r="U9" s="140"/>
      <c r="V9" s="39"/>
    </row>
    <row r="10" spans="4:22" x14ac:dyDescent="0.25">
      <c r="D10" s="39"/>
      <c r="E10" s="41">
        <v>5</v>
      </c>
      <c r="F10" s="142" t="s">
        <v>171</v>
      </c>
      <c r="G10" s="142"/>
      <c r="H10" s="140">
        <v>2</v>
      </c>
      <c r="I10" s="140"/>
      <c r="J10" s="142" t="str">
        <f t="shared" si="0"/>
        <v>xenia</v>
      </c>
      <c r="K10" s="142"/>
      <c r="L10" s="141" t="str">
        <f t="shared" si="1"/>
        <v>250000000</v>
      </c>
      <c r="M10" s="141"/>
      <c r="N10" s="141" t="s">
        <v>174</v>
      </c>
      <c r="O10" s="141"/>
      <c r="P10" s="140" t="str">
        <f t="shared" si="2"/>
        <v>0%</v>
      </c>
      <c r="Q10" s="140"/>
      <c r="R10" s="140" t="str">
        <f t="shared" si="3"/>
        <v>VESMET</v>
      </c>
      <c r="S10" s="140"/>
      <c r="T10" s="140" t="e">
        <f t="shared" si="4"/>
        <v>#VALUE!</v>
      </c>
      <c r="U10" s="140"/>
      <c r="V10" s="39"/>
    </row>
    <row r="11" spans="4:22" x14ac:dyDescent="0.25">
      <c r="D11" s="39"/>
      <c r="E11" s="41">
        <v>6</v>
      </c>
      <c r="F11" s="142" t="s">
        <v>172</v>
      </c>
      <c r="G11" s="142"/>
      <c r="H11" s="140">
        <v>3</v>
      </c>
      <c r="I11" s="140"/>
      <c r="J11" s="142" t="str">
        <f t="shared" si="0"/>
        <v>innova</v>
      </c>
      <c r="K11" s="142"/>
      <c r="L11" s="141" t="str">
        <f t="shared" si="1"/>
        <v>400000000</v>
      </c>
      <c r="M11" s="141"/>
      <c r="N11" s="141" t="s">
        <v>175</v>
      </c>
      <c r="O11" s="141"/>
      <c r="P11" s="140" t="str">
        <f t="shared" si="2"/>
        <v>10%</v>
      </c>
      <c r="Q11" s="140"/>
      <c r="R11" s="140" t="str">
        <f t="shared" si="3"/>
        <v>ZX10</v>
      </c>
      <c r="S11" s="140"/>
      <c r="T11" s="140" t="e">
        <f t="shared" si="4"/>
        <v>#VALUE!</v>
      </c>
      <c r="U11" s="140"/>
      <c r="V11" s="39"/>
    </row>
    <row r="12" spans="4:22" x14ac:dyDescent="0.25">
      <c r="D12" s="39"/>
      <c r="E12" s="41">
        <v>7</v>
      </c>
      <c r="F12" s="142" t="s">
        <v>173</v>
      </c>
      <c r="G12" s="142"/>
      <c r="H12" s="140">
        <v>1</v>
      </c>
      <c r="I12" s="140"/>
      <c r="J12" s="142" t="str">
        <f t="shared" si="0"/>
        <v>avanza</v>
      </c>
      <c r="K12" s="142"/>
      <c r="L12" s="141" t="str">
        <f t="shared" si="1"/>
        <v>200000000</v>
      </c>
      <c r="M12" s="141"/>
      <c r="N12" s="141" t="s">
        <v>174</v>
      </c>
      <c r="O12" s="141"/>
      <c r="P12" s="140" t="str">
        <f t="shared" si="2"/>
        <v>0%</v>
      </c>
      <c r="Q12" s="140"/>
      <c r="R12" s="140" t="str">
        <f t="shared" si="3"/>
        <v>ZX</v>
      </c>
      <c r="S12" s="140"/>
      <c r="T12" s="140" t="e">
        <f t="shared" si="4"/>
        <v>#VALUE!</v>
      </c>
      <c r="U12" s="140"/>
      <c r="V12" s="39"/>
    </row>
    <row r="13" spans="4:22" x14ac:dyDescent="0.25"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149" t="s">
        <v>177</v>
      </c>
      <c r="R13" s="149"/>
      <c r="S13" s="149"/>
      <c r="T13" s="140" t="e">
        <f>SUM(T6:U12)</f>
        <v>#VALUE!</v>
      </c>
      <c r="U13" s="140"/>
      <c r="V13" s="39"/>
    </row>
    <row r="14" spans="4:22" x14ac:dyDescent="0.25">
      <c r="D14" s="39"/>
      <c r="E14" s="39"/>
      <c r="F14" s="39"/>
      <c r="G14" s="39"/>
      <c r="H14" s="39"/>
      <c r="I14" s="42"/>
      <c r="J14" s="42"/>
      <c r="K14" s="42"/>
      <c r="L14" s="42"/>
      <c r="M14" s="42"/>
      <c r="N14" s="42"/>
      <c r="O14" s="42"/>
      <c r="P14" s="42"/>
      <c r="Q14" s="149" t="s">
        <v>178</v>
      </c>
      <c r="R14" s="149"/>
      <c r="S14" s="149"/>
      <c r="T14" s="140" t="e">
        <f>T13*25%</f>
        <v>#VALUE!</v>
      </c>
      <c r="U14" s="140"/>
      <c r="V14" s="39"/>
    </row>
    <row r="15" spans="4:22" x14ac:dyDescent="0.25">
      <c r="D15" s="142" t="s">
        <v>181</v>
      </c>
      <c r="E15" s="142"/>
      <c r="F15" s="140" t="s">
        <v>47</v>
      </c>
      <c r="G15" s="140"/>
      <c r="H15" s="39"/>
      <c r="I15" s="42"/>
      <c r="J15" s="42"/>
      <c r="K15" s="42"/>
      <c r="L15" s="42"/>
      <c r="M15" s="42"/>
      <c r="N15" s="42"/>
      <c r="O15" s="42"/>
      <c r="P15" s="42"/>
      <c r="Q15" s="149" t="s">
        <v>179</v>
      </c>
      <c r="R15" s="149"/>
      <c r="S15" s="149"/>
      <c r="T15" s="140" t="e">
        <f>T13-T14</f>
        <v>#VALUE!</v>
      </c>
      <c r="U15" s="140"/>
      <c r="V15" s="39"/>
    </row>
    <row r="16" spans="4:22" x14ac:dyDescent="0.25">
      <c r="D16" s="141" t="s">
        <v>182</v>
      </c>
      <c r="E16" s="141"/>
      <c r="F16" s="140" t="e">
        <f>SUMIF(J6:K12,"avanza",T6:U16)</f>
        <v>#VALUE!</v>
      </c>
      <c r="G16" s="140"/>
      <c r="H16" s="39"/>
      <c r="I16" s="42"/>
      <c r="J16" s="42"/>
      <c r="K16" s="42"/>
      <c r="L16" s="42"/>
      <c r="M16" s="42"/>
      <c r="N16" s="42"/>
      <c r="O16" s="42"/>
      <c r="P16" s="42"/>
      <c r="Q16" s="149" t="s">
        <v>180</v>
      </c>
      <c r="R16" s="149"/>
      <c r="S16" s="149"/>
      <c r="T16" s="140" t="e">
        <f>AVERAGE(T6:U12)</f>
        <v>#VALUE!</v>
      </c>
      <c r="U16" s="140"/>
      <c r="V16" s="39"/>
    </row>
    <row r="17" spans="4:22" x14ac:dyDescent="0.25">
      <c r="D17" s="141" t="s">
        <v>183</v>
      </c>
      <c r="E17" s="141"/>
      <c r="F17" s="140" t="e">
        <f>SUMIF(J6:K12,"xenia",T6:U16)</f>
        <v>#VALUE!</v>
      </c>
      <c r="G17" s="140"/>
      <c r="H17" s="39"/>
      <c r="I17" s="42"/>
      <c r="J17" s="42"/>
      <c r="K17" s="42"/>
      <c r="L17" s="42"/>
      <c r="M17" s="42"/>
      <c r="N17" s="42"/>
      <c r="O17" s="42"/>
      <c r="P17" s="42"/>
      <c r="Q17" s="42"/>
      <c r="R17" s="39"/>
      <c r="S17" s="39"/>
      <c r="T17" s="39"/>
      <c r="U17" s="39"/>
      <c r="V17" s="39"/>
    </row>
    <row r="18" spans="4:22" x14ac:dyDescent="0.25">
      <c r="D18" s="141" t="s">
        <v>184</v>
      </c>
      <c r="E18" s="141"/>
      <c r="F18" s="140" t="e">
        <f>SUMIF(J6:K12,"innova",T6:U16)</f>
        <v>#VALUE!</v>
      </c>
      <c r="G18" s="140"/>
      <c r="H18" s="39"/>
      <c r="I18" s="42"/>
      <c r="J18" s="139" t="s">
        <v>186</v>
      </c>
      <c r="K18" s="139"/>
      <c r="L18" s="139"/>
      <c r="M18" s="139"/>
      <c r="N18" s="139"/>
      <c r="O18" s="42"/>
      <c r="P18" s="42"/>
      <c r="Q18" s="42"/>
      <c r="R18" s="39"/>
      <c r="S18" s="39"/>
      <c r="T18" s="39"/>
      <c r="U18" s="39"/>
      <c r="V18" s="39"/>
    </row>
    <row r="19" spans="4:22" x14ac:dyDescent="0.25">
      <c r="D19" s="43"/>
      <c r="E19" s="43"/>
      <c r="F19" s="43"/>
      <c r="G19" s="43"/>
      <c r="H19" s="39"/>
      <c r="I19" s="42"/>
      <c r="J19" s="139"/>
      <c r="K19" s="139"/>
      <c r="L19" s="139"/>
      <c r="M19" s="139"/>
      <c r="N19" s="139"/>
      <c r="O19" s="42"/>
      <c r="P19" s="42"/>
      <c r="Q19" s="42"/>
      <c r="R19" s="39"/>
      <c r="S19" s="39"/>
      <c r="T19" s="39"/>
      <c r="U19" s="39"/>
      <c r="V19" s="39"/>
    </row>
    <row r="20" spans="4:22" x14ac:dyDescent="0.25">
      <c r="I20" s="28"/>
      <c r="J20" s="28"/>
      <c r="K20" s="28"/>
      <c r="L20" s="28"/>
      <c r="M20" s="28"/>
      <c r="N20" s="28"/>
      <c r="O20" s="28"/>
      <c r="P20" s="28"/>
      <c r="Q20" s="28"/>
    </row>
    <row r="21" spans="4:22" x14ac:dyDescent="0.25">
      <c r="I21" s="28"/>
      <c r="J21" s="28"/>
      <c r="K21" s="28"/>
      <c r="L21" s="28"/>
      <c r="M21" s="28"/>
      <c r="N21" s="28"/>
      <c r="O21" s="28"/>
      <c r="P21" s="28"/>
    </row>
    <row r="22" spans="4:22" x14ac:dyDescent="0.25">
      <c r="I22" s="28"/>
      <c r="J22" s="28"/>
      <c r="K22" s="28"/>
      <c r="L22" s="28"/>
      <c r="M22" s="28"/>
      <c r="N22" s="28"/>
      <c r="O22" s="28"/>
      <c r="P22" s="28"/>
      <c r="Q22" s="28"/>
    </row>
    <row r="57" spans="14:18" x14ac:dyDescent="0.25">
      <c r="N57" t="s">
        <v>176</v>
      </c>
    </row>
    <row r="62" spans="14:18" x14ac:dyDescent="0.25">
      <c r="R62" t="e">
        <f>+V72:RR662</f>
        <v>#VALUE!</v>
      </c>
    </row>
  </sheetData>
  <mergeCells count="83">
    <mergeCell ref="F15:G15"/>
    <mergeCell ref="F16:G16"/>
    <mergeCell ref="F17:G17"/>
    <mergeCell ref="F18:G18"/>
    <mergeCell ref="D15:E15"/>
    <mergeCell ref="D16:E16"/>
    <mergeCell ref="D17:E17"/>
    <mergeCell ref="D18:E18"/>
    <mergeCell ref="T13:U13"/>
    <mergeCell ref="T14:U14"/>
    <mergeCell ref="T15:U15"/>
    <mergeCell ref="T16:U16"/>
    <mergeCell ref="Q16:S16"/>
    <mergeCell ref="Q15:S15"/>
    <mergeCell ref="Q14:S14"/>
    <mergeCell ref="Q13:S13"/>
    <mergeCell ref="E4:E5"/>
    <mergeCell ref="H2:R3"/>
    <mergeCell ref="F4:G5"/>
    <mergeCell ref="H4:I5"/>
    <mergeCell ref="J4:K5"/>
    <mergeCell ref="L4:M5"/>
    <mergeCell ref="P4:Q5"/>
    <mergeCell ref="R4:S5"/>
    <mergeCell ref="T4:U5"/>
    <mergeCell ref="F6:G6"/>
    <mergeCell ref="F7:G7"/>
    <mergeCell ref="L6:M6"/>
    <mergeCell ref="L7:M7"/>
    <mergeCell ref="R6:S6"/>
    <mergeCell ref="N4:O5"/>
    <mergeCell ref="J6:K6"/>
    <mergeCell ref="J7:K7"/>
    <mergeCell ref="F9:G9"/>
    <mergeCell ref="F10:G10"/>
    <mergeCell ref="F11:G11"/>
    <mergeCell ref="F12:G12"/>
    <mergeCell ref="H6:I6"/>
    <mergeCell ref="H7:I7"/>
    <mergeCell ref="H8:I8"/>
    <mergeCell ref="H9:I9"/>
    <mergeCell ref="H10:I10"/>
    <mergeCell ref="H11:I11"/>
    <mergeCell ref="F8:G8"/>
    <mergeCell ref="H12:I12"/>
    <mergeCell ref="J8:K8"/>
    <mergeCell ref="J9:K9"/>
    <mergeCell ref="J10:K10"/>
    <mergeCell ref="J11:K11"/>
    <mergeCell ref="J12:K12"/>
    <mergeCell ref="L9:M9"/>
    <mergeCell ref="L10:M10"/>
    <mergeCell ref="L11:M11"/>
    <mergeCell ref="L12:M12"/>
    <mergeCell ref="N6:O6"/>
    <mergeCell ref="N7:O7"/>
    <mergeCell ref="N8:O8"/>
    <mergeCell ref="N9:O9"/>
    <mergeCell ref="N10:O10"/>
    <mergeCell ref="N11:O11"/>
    <mergeCell ref="L8:M8"/>
    <mergeCell ref="P11:Q11"/>
    <mergeCell ref="R7:S7"/>
    <mergeCell ref="R9:S9"/>
    <mergeCell ref="R8:S8"/>
    <mergeCell ref="R10:S10"/>
    <mergeCell ref="R11:S11"/>
    <mergeCell ref="J18:N19"/>
    <mergeCell ref="T12:U12"/>
    <mergeCell ref="T6:U6"/>
    <mergeCell ref="T7:U7"/>
    <mergeCell ref="T8:U8"/>
    <mergeCell ref="T9:U9"/>
    <mergeCell ref="T10:U10"/>
    <mergeCell ref="T11:U11"/>
    <mergeCell ref="R12:S12"/>
    <mergeCell ref="N12:O12"/>
    <mergeCell ref="P6:Q6"/>
    <mergeCell ref="P7:Q7"/>
    <mergeCell ref="P8:Q8"/>
    <mergeCell ref="P9:Q9"/>
    <mergeCell ref="P10:Q10"/>
    <mergeCell ref="P12:Q12"/>
  </mergeCells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9"/>
  <sheetViews>
    <sheetView workbookViewId="0">
      <selection activeCell="J5" sqref="J5"/>
    </sheetView>
  </sheetViews>
  <sheetFormatPr defaultRowHeight="15" x14ac:dyDescent="0.25"/>
  <cols>
    <col min="3" max="3" width="11.7109375" customWidth="1"/>
    <col min="4" max="4" width="14.140625" customWidth="1"/>
    <col min="5" max="5" width="13.85546875" customWidth="1"/>
    <col min="6" max="6" width="14.28515625" customWidth="1"/>
    <col min="7" max="7" width="15" customWidth="1"/>
    <col min="8" max="8" width="15.85546875" customWidth="1"/>
  </cols>
  <sheetData>
    <row r="3" spans="3:8" x14ac:dyDescent="0.25">
      <c r="C3" s="38" t="s">
        <v>145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178</v>
      </c>
    </row>
    <row r="4" spans="3:8" x14ac:dyDescent="0.25">
      <c r="C4" s="37" t="s">
        <v>191</v>
      </c>
      <c r="D4" s="37" t="s">
        <v>196</v>
      </c>
      <c r="E4" s="37">
        <f t="shared" ref="E4:E9" si="0">IF(D4="staff",3000000,IF(D4="operator",2000000,5000000))</f>
        <v>3000000</v>
      </c>
      <c r="F4" s="37">
        <f t="shared" ref="F4:F9" si="1">IF(D40="operator",2000000,IF(D4="menejer",2500000,2000000))</f>
        <v>2000000</v>
      </c>
      <c r="G4" s="37">
        <f t="shared" ref="G4:G9" si="2">E4+F4</f>
        <v>5000000</v>
      </c>
      <c r="H4" s="37">
        <f t="shared" ref="H4:H9" si="3">IF(D4&gt;=7000000,G4*10%,IF(D4&gt;=5000000,G4*7%,G4*3%))</f>
        <v>500000</v>
      </c>
    </row>
    <row r="5" spans="3:8" x14ac:dyDescent="0.25">
      <c r="C5" s="37" t="s">
        <v>21</v>
      </c>
      <c r="D5" s="37" t="s">
        <v>197</v>
      </c>
      <c r="E5" s="37">
        <f t="shared" si="0"/>
        <v>2000000</v>
      </c>
      <c r="F5" s="37">
        <f t="shared" si="1"/>
        <v>2000000</v>
      </c>
      <c r="G5" s="37">
        <f t="shared" si="2"/>
        <v>4000000</v>
      </c>
      <c r="H5" s="37">
        <f t="shared" si="3"/>
        <v>400000</v>
      </c>
    </row>
    <row r="6" spans="3:8" x14ac:dyDescent="0.25">
      <c r="C6" s="37" t="s">
        <v>192</v>
      </c>
      <c r="D6" s="37" t="s">
        <v>198</v>
      </c>
      <c r="E6" s="37">
        <f t="shared" si="0"/>
        <v>5000000</v>
      </c>
      <c r="F6" s="37">
        <f t="shared" si="1"/>
        <v>2500000</v>
      </c>
      <c r="G6" s="37">
        <f t="shared" si="2"/>
        <v>7500000</v>
      </c>
      <c r="H6" s="37">
        <f t="shared" si="3"/>
        <v>750000</v>
      </c>
    </row>
    <row r="7" spans="3:8" x14ac:dyDescent="0.25">
      <c r="C7" s="37" t="s">
        <v>193</v>
      </c>
      <c r="D7" s="37" t="s">
        <v>197</v>
      </c>
      <c r="E7" s="37">
        <f t="shared" si="0"/>
        <v>2000000</v>
      </c>
      <c r="F7" s="37">
        <f t="shared" si="1"/>
        <v>2000000</v>
      </c>
      <c r="G7" s="37">
        <f t="shared" si="2"/>
        <v>4000000</v>
      </c>
      <c r="H7" s="37">
        <f t="shared" si="3"/>
        <v>400000</v>
      </c>
    </row>
    <row r="8" spans="3:8" x14ac:dyDescent="0.25">
      <c r="C8" s="37" t="s">
        <v>194</v>
      </c>
      <c r="D8" s="37" t="s">
        <v>197</v>
      </c>
      <c r="E8" s="37">
        <f t="shared" si="0"/>
        <v>2000000</v>
      </c>
      <c r="F8" s="37">
        <f t="shared" si="1"/>
        <v>2000000</v>
      </c>
      <c r="G8" s="37">
        <f t="shared" si="2"/>
        <v>4000000</v>
      </c>
      <c r="H8" s="37">
        <f t="shared" si="3"/>
        <v>400000</v>
      </c>
    </row>
    <row r="9" spans="3:8" x14ac:dyDescent="0.25">
      <c r="C9" s="37" t="s">
        <v>195</v>
      </c>
      <c r="D9" s="37" t="s">
        <v>196</v>
      </c>
      <c r="E9" s="37">
        <f t="shared" si="0"/>
        <v>3000000</v>
      </c>
      <c r="F9" s="37">
        <f t="shared" si="1"/>
        <v>2000000</v>
      </c>
      <c r="G9" s="37">
        <f t="shared" si="2"/>
        <v>5000000</v>
      </c>
      <c r="H9" s="37">
        <f t="shared" si="3"/>
        <v>500000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M14"/>
  <sheetViews>
    <sheetView zoomScale="124" zoomScaleNormal="124" workbookViewId="0">
      <selection activeCell="F9" sqref="F9"/>
    </sheetView>
  </sheetViews>
  <sheetFormatPr defaultRowHeight="15" x14ac:dyDescent="0.25"/>
  <cols>
    <col min="4" max="4" width="7.28515625" customWidth="1"/>
  </cols>
  <sheetData>
    <row r="5" spans="6:13" x14ac:dyDescent="0.25">
      <c r="F5" s="119" t="s">
        <v>199</v>
      </c>
      <c r="G5" s="119"/>
      <c r="K5" t="s">
        <v>204</v>
      </c>
      <c r="L5" t="s">
        <v>205</v>
      </c>
      <c r="M5" t="s">
        <v>206</v>
      </c>
    </row>
    <row r="6" spans="6:13" x14ac:dyDescent="0.25">
      <c r="F6" s="119"/>
      <c r="G6" s="119"/>
      <c r="I6" t="str">
        <f>LEFT(F54,3)</f>
        <v/>
      </c>
    </row>
    <row r="9" spans="6:13" x14ac:dyDescent="0.25">
      <c r="K9" t="s">
        <v>202</v>
      </c>
      <c r="M9" t="str">
        <f>IF(MID(K9,6,1)="a","putra","putri")</f>
        <v>putra</v>
      </c>
    </row>
    <row r="10" spans="6:13" x14ac:dyDescent="0.25">
      <c r="K10" t="s">
        <v>203</v>
      </c>
    </row>
    <row r="11" spans="6:13" x14ac:dyDescent="0.25">
      <c r="G11" t="s">
        <v>200</v>
      </c>
      <c r="K11" t="s">
        <v>203</v>
      </c>
    </row>
    <row r="12" spans="6:13" x14ac:dyDescent="0.25">
      <c r="G12" t="s">
        <v>201</v>
      </c>
      <c r="K12" t="s">
        <v>202</v>
      </c>
    </row>
    <row r="13" spans="6:13" x14ac:dyDescent="0.25">
      <c r="G13" t="s">
        <v>201</v>
      </c>
    </row>
    <row r="14" spans="6:13" x14ac:dyDescent="0.25">
      <c r="G14" t="s">
        <v>200</v>
      </c>
    </row>
  </sheetData>
  <mergeCells count="2">
    <mergeCell ref="F5:G5"/>
    <mergeCell ref="F6:G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2"/>
  <sheetViews>
    <sheetView workbookViewId="0">
      <selection activeCell="C7" sqref="C7"/>
    </sheetView>
  </sheetViews>
  <sheetFormatPr defaultRowHeight="15" x14ac:dyDescent="0.25"/>
  <cols>
    <col min="3" max="3" width="19.7109375" customWidth="1"/>
    <col min="4" max="4" width="19" customWidth="1"/>
    <col min="5" max="5" width="17.5703125" customWidth="1"/>
    <col min="6" max="6" width="19.42578125" customWidth="1"/>
    <col min="7" max="7" width="23.140625" customWidth="1"/>
  </cols>
  <sheetData>
    <row r="2" spans="3:8" x14ac:dyDescent="0.25">
      <c r="D2" s="151" t="s">
        <v>223</v>
      </c>
      <c r="E2" s="129"/>
      <c r="F2" s="129"/>
    </row>
    <row r="3" spans="3:8" x14ac:dyDescent="0.25">
      <c r="C3" s="24"/>
      <c r="D3" s="129"/>
      <c r="E3" s="129"/>
      <c r="F3" s="129"/>
    </row>
    <row r="4" spans="3:8" x14ac:dyDescent="0.25">
      <c r="C4" s="108" t="s">
        <v>207</v>
      </c>
      <c r="D4" s="138" t="s">
        <v>214</v>
      </c>
      <c r="E4" s="150" t="s">
        <v>151</v>
      </c>
      <c r="F4" s="152" t="s">
        <v>221</v>
      </c>
      <c r="G4" s="150" t="s">
        <v>222</v>
      </c>
      <c r="H4" s="28"/>
    </row>
    <row r="5" spans="3:8" x14ac:dyDescent="0.25">
      <c r="C5" s="108"/>
      <c r="D5" s="138"/>
      <c r="E5" s="138"/>
      <c r="F5" s="121"/>
      <c r="G5" s="138"/>
      <c r="H5" s="28"/>
    </row>
    <row r="6" spans="3:8" x14ac:dyDescent="0.25">
      <c r="C6" s="44" t="s">
        <v>208</v>
      </c>
      <c r="D6" s="44" t="s">
        <v>215</v>
      </c>
      <c r="E6" s="44" t="str">
        <f t="shared" ref="E6:E11" si="0">IF(MID(C6,7,1)="L","LAKI-LAKI","PEREMPUAN")</f>
        <v>LAKI-LAKI</v>
      </c>
      <c r="F6" s="44" t="str">
        <f t="shared" ref="F6:F11" si="1">IF(MID(C6,3,3)="301","MICROSOFT OFFICE",IF(MID(C6,3,3)="302","VASUAL BASIC","VISUAL FOXPRO"))</f>
        <v>MICROSOFT OFFICE</v>
      </c>
      <c r="G6" s="44">
        <f t="shared" ref="G6:G11" si="2">IF(MID(C6,3,3)="301",350000,IF(MID(C6,3,3)="302",450000,400000))</f>
        <v>350000</v>
      </c>
    </row>
    <row r="7" spans="3:8" x14ac:dyDescent="0.25">
      <c r="C7" s="44" t="s">
        <v>209</v>
      </c>
      <c r="D7" s="44" t="s">
        <v>216</v>
      </c>
      <c r="E7" s="44" t="str">
        <f t="shared" si="0"/>
        <v>PEREMPUAN</v>
      </c>
      <c r="F7" s="44" t="str">
        <f t="shared" si="1"/>
        <v>VASUAL BASIC</v>
      </c>
      <c r="G7" s="44">
        <f t="shared" si="2"/>
        <v>450000</v>
      </c>
    </row>
    <row r="8" spans="3:8" x14ac:dyDescent="0.25">
      <c r="C8" s="44" t="s">
        <v>213</v>
      </c>
      <c r="D8" s="44" t="s">
        <v>217</v>
      </c>
      <c r="E8" s="44" t="str">
        <f t="shared" si="0"/>
        <v>LAKI-LAKI</v>
      </c>
      <c r="F8" s="44" t="str">
        <f t="shared" si="1"/>
        <v>MICROSOFT OFFICE</v>
      </c>
      <c r="G8" s="44">
        <f t="shared" si="2"/>
        <v>350000</v>
      </c>
    </row>
    <row r="9" spans="3:8" x14ac:dyDescent="0.25">
      <c r="C9" s="44" t="s">
        <v>212</v>
      </c>
      <c r="D9" s="44" t="s">
        <v>218</v>
      </c>
      <c r="E9" s="44" t="str">
        <f t="shared" si="0"/>
        <v>LAKI-LAKI</v>
      </c>
      <c r="F9" s="44" t="str">
        <f t="shared" si="1"/>
        <v>VISUAL FOXPRO</v>
      </c>
      <c r="G9" s="44">
        <f t="shared" si="2"/>
        <v>400000</v>
      </c>
    </row>
    <row r="10" spans="3:8" x14ac:dyDescent="0.25">
      <c r="C10" s="44" t="s">
        <v>211</v>
      </c>
      <c r="D10" s="44" t="s">
        <v>219</v>
      </c>
      <c r="E10" s="44" t="str">
        <f t="shared" si="0"/>
        <v>PEREMPUAN</v>
      </c>
      <c r="F10" s="44" t="str">
        <f t="shared" si="1"/>
        <v>VASUAL BASIC</v>
      </c>
      <c r="G10" s="44">
        <f t="shared" si="2"/>
        <v>450000</v>
      </c>
    </row>
    <row r="11" spans="3:8" x14ac:dyDescent="0.25">
      <c r="C11" s="44" t="s">
        <v>210</v>
      </c>
      <c r="D11" s="44" t="s">
        <v>220</v>
      </c>
      <c r="E11" s="44" t="str">
        <f t="shared" si="0"/>
        <v>PEREMPUAN</v>
      </c>
      <c r="F11" s="44" t="str">
        <f t="shared" si="1"/>
        <v>VISUAL FOXPRO</v>
      </c>
      <c r="G11" s="44">
        <f t="shared" si="2"/>
        <v>400000</v>
      </c>
    </row>
    <row r="12" spans="3:8" x14ac:dyDescent="0.25">
      <c r="C12" s="108" t="s">
        <v>224</v>
      </c>
      <c r="D12" s="108"/>
      <c r="E12" s="108"/>
      <c r="F12" s="108"/>
      <c r="G12" s="47">
        <f>SUM(G6:G11)</f>
        <v>2400000</v>
      </c>
    </row>
  </sheetData>
  <mergeCells count="7">
    <mergeCell ref="G4:G5"/>
    <mergeCell ref="D2:F3"/>
    <mergeCell ref="C12:F12"/>
    <mergeCell ref="C4:C5"/>
    <mergeCell ref="D4:D5"/>
    <mergeCell ref="E4:E5"/>
    <mergeCell ref="F4:F5"/>
  </mergeCells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5"/>
  <sheetViews>
    <sheetView workbookViewId="0">
      <selection activeCell="F8" sqref="F8"/>
    </sheetView>
  </sheetViews>
  <sheetFormatPr defaultRowHeight="15" x14ac:dyDescent="0.25"/>
  <cols>
    <col min="6" max="6" width="17.5703125" customWidth="1"/>
    <col min="7" max="7" width="26.85546875" customWidth="1"/>
    <col min="8" max="8" width="17.42578125" customWidth="1"/>
    <col min="9" max="9" width="14.42578125" customWidth="1"/>
  </cols>
  <sheetData>
    <row r="4" spans="3:9" x14ac:dyDescent="0.25">
      <c r="C4" s="153" t="s">
        <v>121</v>
      </c>
      <c r="D4" s="153" t="s">
        <v>225</v>
      </c>
      <c r="E4" s="153"/>
      <c r="F4" s="153" t="s">
        <v>232</v>
      </c>
      <c r="G4" s="153" t="s">
        <v>233</v>
      </c>
      <c r="H4" s="153" t="s">
        <v>234</v>
      </c>
      <c r="I4" s="153" t="s">
        <v>235</v>
      </c>
    </row>
    <row r="5" spans="3:9" x14ac:dyDescent="0.25">
      <c r="C5" s="153"/>
      <c r="D5" s="153"/>
      <c r="E5" s="153"/>
      <c r="F5" s="153"/>
      <c r="G5" s="153"/>
      <c r="H5" s="153"/>
      <c r="I5" s="153"/>
    </row>
    <row r="6" spans="3:9" x14ac:dyDescent="0.25">
      <c r="C6" s="46">
        <v>1</v>
      </c>
      <c r="D6" s="120" t="s">
        <v>226</v>
      </c>
      <c r="E6" s="120"/>
      <c r="F6" s="45" t="str">
        <f t="shared" ref="F6:F11" si="0">IF(LEFT(D6)="F","FOOD",IF(LEFT(D6)="B","BEVERAGE","MEDICNI"))</f>
        <v>FOOD</v>
      </c>
      <c r="G6" s="45" t="str">
        <f t="shared" ref="G6:G11" si="1">IF(MID(D6,3,4)="2018","LAYAK","KADARLUARSA")</f>
        <v>LAYAK</v>
      </c>
      <c r="H6" s="45" t="str">
        <f t="shared" ref="H6:H11" si="2">IF(MID(D6,8,1)="A","AMERIKA","INDONESIA")</f>
        <v>AMERIKA</v>
      </c>
      <c r="I6" s="45" t="str">
        <f t="shared" ref="I6:I11" si="3">RIGHT(D6,4)</f>
        <v>5000</v>
      </c>
    </row>
    <row r="7" spans="3:9" x14ac:dyDescent="0.25">
      <c r="C7" s="46">
        <v>2</v>
      </c>
      <c r="D7" s="120" t="s">
        <v>227</v>
      </c>
      <c r="E7" s="120"/>
      <c r="F7" s="45" t="str">
        <f t="shared" si="0"/>
        <v>BEVERAGE</v>
      </c>
      <c r="G7" s="45" t="str">
        <f t="shared" si="1"/>
        <v>LAYAK</v>
      </c>
      <c r="H7" s="45" t="str">
        <f t="shared" si="2"/>
        <v>INDONESIA</v>
      </c>
      <c r="I7" s="45" t="str">
        <f t="shared" si="3"/>
        <v>3000</v>
      </c>
    </row>
    <row r="8" spans="3:9" x14ac:dyDescent="0.25">
      <c r="C8" s="46">
        <v>3</v>
      </c>
      <c r="D8" s="120" t="s">
        <v>228</v>
      </c>
      <c r="E8" s="120"/>
      <c r="F8" s="45" t="str">
        <f t="shared" si="0"/>
        <v>FOOD</v>
      </c>
      <c r="G8" s="45" t="str">
        <f t="shared" si="1"/>
        <v>KADARLUARSA</v>
      </c>
      <c r="H8" s="45" t="str">
        <f t="shared" si="2"/>
        <v>AMERIKA</v>
      </c>
      <c r="I8" s="45" t="str">
        <f t="shared" si="3"/>
        <v>4500</v>
      </c>
    </row>
    <row r="9" spans="3:9" x14ac:dyDescent="0.25">
      <c r="C9" s="46">
        <v>4</v>
      </c>
      <c r="D9" s="120" t="s">
        <v>229</v>
      </c>
      <c r="E9" s="120"/>
      <c r="F9" s="45" t="str">
        <f t="shared" si="0"/>
        <v>MEDICNI</v>
      </c>
      <c r="G9" s="45" t="str">
        <f t="shared" si="1"/>
        <v>LAYAK</v>
      </c>
      <c r="H9" s="45" t="str">
        <f t="shared" si="2"/>
        <v>INDONESIA</v>
      </c>
      <c r="I9" s="45" t="str">
        <f t="shared" si="3"/>
        <v>9000</v>
      </c>
    </row>
    <row r="10" spans="3:9" x14ac:dyDescent="0.25">
      <c r="C10" s="46">
        <v>5</v>
      </c>
      <c r="D10" s="120" t="s">
        <v>230</v>
      </c>
      <c r="E10" s="120"/>
      <c r="F10" s="45" t="str">
        <f t="shared" si="0"/>
        <v>MEDICNI</v>
      </c>
      <c r="G10" s="45" t="str">
        <f t="shared" si="1"/>
        <v>LAYAK</v>
      </c>
      <c r="H10" s="45" t="str">
        <f t="shared" si="2"/>
        <v>AMERIKA</v>
      </c>
      <c r="I10" s="45" t="str">
        <f t="shared" si="3"/>
        <v>8000</v>
      </c>
    </row>
    <row r="11" spans="3:9" x14ac:dyDescent="0.25">
      <c r="C11" s="46">
        <v>6</v>
      </c>
      <c r="D11" s="120" t="s">
        <v>231</v>
      </c>
      <c r="E11" s="120"/>
      <c r="F11" s="45" t="str">
        <f t="shared" si="0"/>
        <v>BEVERAGE</v>
      </c>
      <c r="G11" s="45" t="str">
        <f t="shared" si="1"/>
        <v>KADARLUARSA</v>
      </c>
      <c r="H11" s="45" t="str">
        <f t="shared" si="2"/>
        <v>INDONESIA</v>
      </c>
      <c r="I11" s="45" t="str">
        <f t="shared" si="3"/>
        <v>2000</v>
      </c>
    </row>
    <row r="12" spans="3:9" x14ac:dyDescent="0.25">
      <c r="G12" s="48"/>
    </row>
    <row r="13" spans="3:9" x14ac:dyDescent="0.25">
      <c r="G13" s="48"/>
    </row>
    <row r="15" spans="3:9" x14ac:dyDescent="0.25">
      <c r="D15" s="28"/>
      <c r="E15" s="28"/>
    </row>
  </sheetData>
  <mergeCells count="12">
    <mergeCell ref="I4:I5"/>
    <mergeCell ref="C4:C5"/>
    <mergeCell ref="D4:E5"/>
    <mergeCell ref="D6:E6"/>
    <mergeCell ref="D7:E7"/>
    <mergeCell ref="D10:E10"/>
    <mergeCell ref="D11:E11"/>
    <mergeCell ref="F4:F5"/>
    <mergeCell ref="G4:G5"/>
    <mergeCell ref="H4:H5"/>
    <mergeCell ref="D8:E8"/>
    <mergeCell ref="D9:E9"/>
  </mergeCells>
  <pageMargins left="0.7" right="0.7" top="0.75" bottom="0.75" header="0.3" footer="0.3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21"/>
  <sheetViews>
    <sheetView topLeftCell="C7" workbookViewId="0">
      <selection activeCell="I18" sqref="I18"/>
    </sheetView>
  </sheetViews>
  <sheetFormatPr defaultRowHeight="15" x14ac:dyDescent="0.25"/>
  <cols>
    <col min="5" max="5" width="16.5703125" customWidth="1"/>
    <col min="6" max="6" width="18.42578125" customWidth="1"/>
    <col min="7" max="8" width="16.5703125" customWidth="1"/>
    <col min="9" max="9" width="23.42578125" customWidth="1"/>
    <col min="10" max="10" width="22.5703125" customWidth="1"/>
    <col min="11" max="11" width="23.28515625" customWidth="1"/>
    <col min="12" max="12" width="21.7109375" customWidth="1"/>
    <col min="13" max="13" width="15.85546875" customWidth="1"/>
  </cols>
  <sheetData>
    <row r="4" spans="4:16" x14ac:dyDescent="0.25">
      <c r="G4" s="154" t="s">
        <v>236</v>
      </c>
      <c r="H4" s="154"/>
      <c r="I4" s="154"/>
      <c r="J4" s="154"/>
      <c r="K4" s="154"/>
    </row>
    <row r="5" spans="4:16" x14ac:dyDescent="0.25">
      <c r="G5" s="154"/>
      <c r="H5" s="154"/>
      <c r="I5" s="154"/>
      <c r="J5" s="154"/>
      <c r="K5" s="154"/>
    </row>
    <row r="7" spans="4:16" x14ac:dyDescent="0.25">
      <c r="D7" s="51"/>
      <c r="E7" s="61" t="s">
        <v>237</v>
      </c>
      <c r="F7" s="62" t="s">
        <v>238</v>
      </c>
      <c r="G7" s="62" t="s">
        <v>235</v>
      </c>
      <c r="H7" s="52"/>
    </row>
    <row r="8" spans="4:16" x14ac:dyDescent="0.25">
      <c r="D8" s="48"/>
      <c r="E8" s="49" t="s">
        <v>251</v>
      </c>
      <c r="F8" s="49" t="s">
        <v>239</v>
      </c>
      <c r="G8" s="49">
        <v>1200000</v>
      </c>
      <c r="H8" s="52"/>
    </row>
    <row r="9" spans="4:16" x14ac:dyDescent="0.25">
      <c r="D9" s="48"/>
      <c r="E9" s="49" t="s">
        <v>252</v>
      </c>
      <c r="F9" s="49" t="s">
        <v>240</v>
      </c>
      <c r="G9" s="49">
        <v>1100000</v>
      </c>
      <c r="H9" s="52"/>
    </row>
    <row r="10" spans="4:16" x14ac:dyDescent="0.25">
      <c r="D10" s="48"/>
      <c r="E10" s="49" t="s">
        <v>253</v>
      </c>
      <c r="F10" s="49" t="s">
        <v>241</v>
      </c>
      <c r="G10" s="49">
        <v>1250000</v>
      </c>
      <c r="H10" s="52"/>
    </row>
    <row r="11" spans="4:16" x14ac:dyDescent="0.25">
      <c r="D11" s="48"/>
      <c r="E11" s="49" t="s">
        <v>254</v>
      </c>
      <c r="F11" s="49" t="s">
        <v>242</v>
      </c>
      <c r="G11" s="49">
        <v>1500000</v>
      </c>
      <c r="H11" s="52"/>
    </row>
    <row r="12" spans="4:16" x14ac:dyDescent="0.25">
      <c r="D12" s="48"/>
      <c r="E12" s="49" t="s">
        <v>255</v>
      </c>
      <c r="F12" s="49" t="s">
        <v>243</v>
      </c>
      <c r="G12" s="49">
        <v>900000</v>
      </c>
      <c r="H12" s="52"/>
    </row>
    <row r="14" spans="4:16" x14ac:dyDescent="0.25">
      <c r="H14" s="155" t="s">
        <v>244</v>
      </c>
      <c r="I14" s="155"/>
      <c r="J14" s="156"/>
      <c r="K14" s="53"/>
      <c r="L14" s="53"/>
    </row>
    <row r="16" spans="4:16" x14ac:dyDescent="0.25">
      <c r="D16" s="48"/>
      <c r="F16" s="59" t="s">
        <v>81</v>
      </c>
      <c r="G16" s="59" t="s">
        <v>249</v>
      </c>
      <c r="H16" s="59" t="s">
        <v>250</v>
      </c>
      <c r="I16" s="59" t="s">
        <v>256</v>
      </c>
      <c r="J16" s="59" t="s">
        <v>235</v>
      </c>
      <c r="K16" s="59" t="s">
        <v>257</v>
      </c>
      <c r="L16" s="60" t="s">
        <v>166</v>
      </c>
      <c r="N16" s="48"/>
      <c r="O16" s="24"/>
      <c r="P16" s="48"/>
    </row>
    <row r="17" spans="4:16" x14ac:dyDescent="0.25">
      <c r="D17" s="48"/>
      <c r="F17" s="49" t="s">
        <v>245</v>
      </c>
      <c r="G17" s="49">
        <v>10</v>
      </c>
      <c r="H17" s="49" t="s">
        <v>251</v>
      </c>
      <c r="I17" s="49" t="e">
        <f>VLOOKUP(H17H17,E8:G$12,2,FALSE)</f>
        <v>#NAME?</v>
      </c>
      <c r="J17" s="54" t="e">
        <f>VLOOKUP(H17,E8:G11,3,"FALSE")</f>
        <v>#VALUE!</v>
      </c>
      <c r="K17" s="49" t="e">
        <f>G17*J17</f>
        <v>#VALUE!</v>
      </c>
      <c r="L17" s="49" t="e">
        <f>IF(J17&gt;1200000,"TELEVISI","REMOTTE")</f>
        <v>#VALUE!</v>
      </c>
      <c r="M17" s="50"/>
      <c r="N17" s="48"/>
      <c r="O17" s="24"/>
      <c r="P17" s="48"/>
    </row>
    <row r="18" spans="4:16" x14ac:dyDescent="0.25">
      <c r="D18" s="48"/>
      <c r="F18" s="49" t="s">
        <v>246</v>
      </c>
      <c r="G18" s="49">
        <v>25</v>
      </c>
      <c r="H18" s="49" t="s">
        <v>253</v>
      </c>
      <c r="I18" s="49" t="str">
        <f>VLOOKUP(H18,E9:G$12,2,FALSE)</f>
        <v>POLITRON</v>
      </c>
      <c r="J18" s="54" t="e">
        <f>VLOOKUP(H18,E9:G12,3,"FALSE")</f>
        <v>#VALUE!</v>
      </c>
      <c r="K18" s="55" t="e">
        <f>G18*J18</f>
        <v>#VALUE!</v>
      </c>
      <c r="L18" s="55" t="e">
        <f>IF(J18&gt;1200000,"TELEVISI","REMOTTE")</f>
        <v>#VALUE!</v>
      </c>
      <c r="M18" s="50"/>
      <c r="N18" s="48"/>
      <c r="O18" s="24"/>
      <c r="P18" s="48"/>
    </row>
    <row r="19" spans="4:16" x14ac:dyDescent="0.25">
      <c r="D19" s="48"/>
      <c r="F19" s="49" t="s">
        <v>21</v>
      </c>
      <c r="G19" s="49">
        <v>15</v>
      </c>
      <c r="H19" s="49" t="s">
        <v>254</v>
      </c>
      <c r="I19" s="49" t="str">
        <f>VLOOKUP(H19,E10:G$12,2,FALSE)</f>
        <v>TOSHIBA</v>
      </c>
      <c r="J19" s="54" t="e">
        <f>VLOOKUP(H19,E10:G13,3,"FALSE")</f>
        <v>#VALUE!</v>
      </c>
      <c r="K19" s="55" t="e">
        <f>G19*J19</f>
        <v>#VALUE!</v>
      </c>
      <c r="L19" s="55" t="e">
        <f>IF(J19&gt;1200000,"TELEVISI","REMOTTE")</f>
        <v>#VALUE!</v>
      </c>
      <c r="M19" s="50"/>
      <c r="N19" s="48"/>
      <c r="O19" s="24"/>
      <c r="P19" s="48"/>
    </row>
    <row r="20" spans="4:16" x14ac:dyDescent="0.25">
      <c r="D20" s="48"/>
      <c r="F20" s="49" t="s">
        <v>247</v>
      </c>
      <c r="G20" s="49">
        <v>20</v>
      </c>
      <c r="H20" s="49" t="s">
        <v>252</v>
      </c>
      <c r="I20" s="49" t="s">
        <v>240</v>
      </c>
      <c r="J20" s="54">
        <v>1100000</v>
      </c>
      <c r="K20" s="55">
        <f>G20*J20</f>
        <v>22000000</v>
      </c>
      <c r="L20" s="55" t="str">
        <f>IF(J20&gt;1200000,"TELEVISI","REMOTTE")</f>
        <v>REMOTTE</v>
      </c>
      <c r="M20" s="50"/>
      <c r="N20" s="48"/>
      <c r="O20" s="24"/>
      <c r="P20" s="48"/>
    </row>
    <row r="21" spans="4:16" x14ac:dyDescent="0.25">
      <c r="D21" s="48"/>
      <c r="F21" s="49" t="s">
        <v>248</v>
      </c>
      <c r="G21" s="49">
        <v>10</v>
      </c>
      <c r="H21" s="49" t="s">
        <v>252</v>
      </c>
      <c r="I21" s="49" t="s">
        <v>240</v>
      </c>
      <c r="J21" s="54">
        <v>1100000</v>
      </c>
      <c r="K21" s="55">
        <f>G21*J21</f>
        <v>11000000</v>
      </c>
      <c r="L21" s="55" t="str">
        <f>IF(J21&gt;1200000,"TELEVISI","REMOTTE")</f>
        <v>REMOTTE</v>
      </c>
      <c r="M21" s="50"/>
      <c r="N21" s="48"/>
      <c r="O21" s="24"/>
      <c r="P21" s="48"/>
    </row>
  </sheetData>
  <mergeCells count="2">
    <mergeCell ref="G4:K5"/>
    <mergeCell ref="H14:J14"/>
  </mergeCells>
  <pageMargins left="0.7" right="0.7" top="0.75" bottom="0.75" header="0.3" footer="0.3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workbookViewId="0">
      <selection activeCell="D9" sqref="D9"/>
    </sheetView>
  </sheetViews>
  <sheetFormatPr defaultRowHeight="15" x14ac:dyDescent="0.25"/>
  <cols>
    <col min="1" max="1" width="14.140625" customWidth="1"/>
    <col min="2" max="2" width="13.140625" customWidth="1"/>
    <col min="4" max="4" width="12.7109375" customWidth="1"/>
    <col min="5" max="5" width="11.7109375" customWidth="1"/>
    <col min="7" max="7" width="29.5703125" customWidth="1"/>
    <col min="8" max="8" width="11.85546875" customWidth="1"/>
    <col min="9" max="9" width="11.28515625" customWidth="1"/>
  </cols>
  <sheetData>
    <row r="3" spans="1:10" x14ac:dyDescent="0.25">
      <c r="G3" s="66" t="s">
        <v>258</v>
      </c>
    </row>
    <row r="4" spans="1:10" x14ac:dyDescent="0.25">
      <c r="G4" s="67"/>
    </row>
    <row r="5" spans="1:10" x14ac:dyDescent="0.25">
      <c r="G5" s="68"/>
    </row>
    <row r="6" spans="1:10" x14ac:dyDescent="0.25">
      <c r="A6" s="57" t="s">
        <v>259</v>
      </c>
    </row>
    <row r="7" spans="1:10" ht="30" x14ac:dyDescent="0.25">
      <c r="A7" s="58" t="s">
        <v>260</v>
      </c>
      <c r="B7" s="57" t="s">
        <v>261</v>
      </c>
      <c r="C7" s="58" t="s">
        <v>262</v>
      </c>
      <c r="D7" s="57" t="s">
        <v>263</v>
      </c>
      <c r="E7" s="58" t="s">
        <v>264</v>
      </c>
      <c r="F7" s="58" t="s">
        <v>265</v>
      </c>
      <c r="G7" s="58" t="s">
        <v>266</v>
      </c>
      <c r="H7" s="58" t="s">
        <v>267</v>
      </c>
      <c r="I7" s="58" t="s">
        <v>268</v>
      </c>
      <c r="J7" s="58" t="s">
        <v>269</v>
      </c>
    </row>
    <row r="8" spans="1:10" ht="14.25" customHeight="1" x14ac:dyDescent="0.25">
      <c r="A8" s="56" t="s">
        <v>270</v>
      </c>
      <c r="B8" s="56"/>
      <c r="C8" s="56"/>
      <c r="D8" s="63">
        <v>110000</v>
      </c>
      <c r="E8" s="56"/>
      <c r="F8" s="56">
        <v>20</v>
      </c>
      <c r="G8" s="56"/>
      <c r="H8" s="56"/>
      <c r="I8" s="56"/>
      <c r="J8" s="56"/>
    </row>
    <row r="9" spans="1:10" x14ac:dyDescent="0.25">
      <c r="A9" s="56" t="s">
        <v>271</v>
      </c>
      <c r="B9" s="56"/>
      <c r="C9" s="56"/>
      <c r="D9" s="63">
        <v>150000</v>
      </c>
      <c r="E9" s="56"/>
      <c r="F9" s="56">
        <v>12</v>
      </c>
      <c r="G9" s="56"/>
      <c r="H9" s="56"/>
      <c r="I9" s="56"/>
      <c r="J9" s="56"/>
    </row>
    <row r="10" spans="1:10" x14ac:dyDescent="0.25">
      <c r="A10" s="56" t="s">
        <v>272</v>
      </c>
      <c r="B10" s="56"/>
      <c r="C10" s="56"/>
      <c r="D10" s="63">
        <v>170000</v>
      </c>
      <c r="E10" s="56"/>
      <c r="F10" s="56">
        <v>15</v>
      </c>
      <c r="G10" s="56"/>
      <c r="H10" s="56"/>
      <c r="I10" s="56"/>
      <c r="J10" s="56"/>
    </row>
    <row r="11" spans="1:10" x14ac:dyDescent="0.25">
      <c r="A11" s="56" t="s">
        <v>273</v>
      </c>
      <c r="B11" s="56"/>
      <c r="C11" s="56"/>
      <c r="D11" s="63">
        <v>1400000</v>
      </c>
      <c r="E11" s="56"/>
      <c r="F11" s="56">
        <v>5</v>
      </c>
      <c r="G11" s="56"/>
      <c r="H11" s="56"/>
      <c r="I11" s="56"/>
      <c r="J11" s="56"/>
    </row>
    <row r="12" spans="1:10" x14ac:dyDescent="0.25">
      <c r="A12" s="56" t="s">
        <v>274</v>
      </c>
      <c r="B12" s="56"/>
      <c r="C12" s="56"/>
      <c r="D12" s="63">
        <v>1200000</v>
      </c>
      <c r="E12" s="56"/>
      <c r="F12" s="56">
        <v>3</v>
      </c>
      <c r="G12" s="56"/>
      <c r="H12" s="56"/>
      <c r="I12" s="56"/>
      <c r="J12" s="56"/>
    </row>
    <row r="13" spans="1:10" x14ac:dyDescent="0.25">
      <c r="A13" s="56" t="s">
        <v>275</v>
      </c>
      <c r="B13" s="56"/>
      <c r="C13" s="56"/>
      <c r="D13" s="63">
        <v>130000</v>
      </c>
      <c r="E13" s="56"/>
      <c r="F13" s="56">
        <v>10</v>
      </c>
      <c r="G13" s="56"/>
      <c r="H13" s="56"/>
      <c r="I13" s="56"/>
      <c r="J13" s="56"/>
    </row>
    <row r="14" spans="1:10" x14ac:dyDescent="0.25">
      <c r="A14" s="56" t="s">
        <v>271</v>
      </c>
      <c r="B14" s="56"/>
      <c r="C14" s="56"/>
      <c r="D14" s="63">
        <v>120000</v>
      </c>
      <c r="E14" s="56"/>
      <c r="F14" s="56">
        <v>12</v>
      </c>
      <c r="G14" s="56"/>
      <c r="H14" s="56"/>
      <c r="I14" s="56"/>
      <c r="J14" s="56"/>
    </row>
    <row r="15" spans="1:10" x14ac:dyDescent="0.25">
      <c r="A15" s="56" t="s">
        <v>276</v>
      </c>
      <c r="B15" s="56"/>
      <c r="C15" s="56"/>
      <c r="D15" s="63">
        <v>110000</v>
      </c>
      <c r="E15" s="56"/>
      <c r="F15" s="56">
        <v>25</v>
      </c>
      <c r="G15" s="56"/>
      <c r="H15" s="56"/>
      <c r="I15" s="56"/>
      <c r="J15" s="56"/>
    </row>
    <row r="16" spans="1:10" x14ac:dyDescent="0.25">
      <c r="A16" s="56" t="s">
        <v>277</v>
      </c>
      <c r="B16" s="56"/>
      <c r="C16" s="56"/>
      <c r="D16" s="63">
        <v>1000000</v>
      </c>
      <c r="E16" s="56"/>
      <c r="F16" s="56">
        <v>10</v>
      </c>
      <c r="G16" s="56"/>
      <c r="H16" s="56"/>
      <c r="I16" s="56"/>
      <c r="J16" s="56"/>
    </row>
    <row r="17" spans="1:10" x14ac:dyDescent="0.25">
      <c r="A17" s="56" t="s">
        <v>278</v>
      </c>
      <c r="B17" s="56"/>
      <c r="C17" s="56"/>
      <c r="D17" s="63">
        <v>900000</v>
      </c>
      <c r="E17" s="56"/>
      <c r="F17" s="56">
        <v>8</v>
      </c>
      <c r="G17" s="56"/>
      <c r="H17" s="56"/>
      <c r="I17" s="56"/>
      <c r="J17" s="56"/>
    </row>
    <row r="18" spans="1:10" x14ac:dyDescent="0.25">
      <c r="A18" s="56" t="s">
        <v>279</v>
      </c>
      <c r="B18" s="56"/>
      <c r="C18" s="56"/>
      <c r="D18" s="63">
        <v>1300000</v>
      </c>
      <c r="E18" s="56"/>
      <c r="F18" s="56">
        <v>10</v>
      </c>
      <c r="G18" s="56"/>
      <c r="H18" s="56"/>
      <c r="I18" s="56"/>
      <c r="J18" s="56"/>
    </row>
    <row r="20" spans="1:10" ht="30" x14ac:dyDescent="0.25">
      <c r="A20" s="3" t="s">
        <v>281</v>
      </c>
      <c r="B20" s="3" t="s">
        <v>280</v>
      </c>
    </row>
    <row r="21" spans="1:10" x14ac:dyDescent="0.25">
      <c r="A21" s="64" t="s">
        <v>282</v>
      </c>
      <c r="B21" s="64" t="s">
        <v>287</v>
      </c>
      <c r="D21" s="64" t="s">
        <v>292</v>
      </c>
      <c r="E21" s="64">
        <v>1</v>
      </c>
      <c r="F21" s="64">
        <v>2</v>
      </c>
      <c r="G21" s="64">
        <v>3</v>
      </c>
      <c r="H21" s="64">
        <v>4</v>
      </c>
      <c r="I21" s="64">
        <v>5</v>
      </c>
    </row>
    <row r="22" spans="1:10" x14ac:dyDescent="0.25">
      <c r="A22" s="64" t="s">
        <v>283</v>
      </c>
      <c r="B22" s="64" t="s">
        <v>288</v>
      </c>
      <c r="D22" s="64" t="s">
        <v>238</v>
      </c>
      <c r="E22" s="64" t="s">
        <v>293</v>
      </c>
      <c r="F22" s="64" t="s">
        <v>294</v>
      </c>
      <c r="G22" s="64" t="s">
        <v>295</v>
      </c>
      <c r="H22" s="64" t="s">
        <v>242</v>
      </c>
      <c r="I22" s="64" t="s">
        <v>296</v>
      </c>
    </row>
    <row r="23" spans="1:10" x14ac:dyDescent="0.25">
      <c r="A23" s="64" t="s">
        <v>284</v>
      </c>
      <c r="B23" s="64" t="s">
        <v>289</v>
      </c>
    </row>
    <row r="24" spans="1:10" x14ac:dyDescent="0.25">
      <c r="A24" s="64" t="s">
        <v>285</v>
      </c>
      <c r="B24" s="64" t="s">
        <v>290</v>
      </c>
    </row>
    <row r="25" spans="1:10" x14ac:dyDescent="0.25">
      <c r="A25" s="64" t="s">
        <v>286</v>
      </c>
      <c r="B25" s="64" t="s">
        <v>291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H5" sqref="H5"/>
    </sheetView>
  </sheetViews>
  <sheetFormatPr defaultRowHeight="15" x14ac:dyDescent="0.25"/>
  <cols>
    <col min="2" max="2" width="25.42578125" customWidth="1"/>
    <col min="3" max="3" width="15.42578125" customWidth="1"/>
    <col min="6" max="6" width="19.42578125" customWidth="1"/>
    <col min="7" max="7" width="16.5703125" customWidth="1"/>
    <col min="8" max="8" width="15.85546875" customWidth="1"/>
    <col min="9" max="9" width="18.140625" customWidth="1"/>
    <col min="10" max="10" width="17" customWidth="1"/>
  </cols>
  <sheetData>
    <row r="2" spans="1:12" x14ac:dyDescent="0.25">
      <c r="G2" s="70" t="s">
        <v>309</v>
      </c>
    </row>
    <row r="3" spans="1:12" x14ac:dyDescent="0.25">
      <c r="A3" s="159" t="s">
        <v>121</v>
      </c>
      <c r="B3" s="159" t="s">
        <v>145</v>
      </c>
      <c r="C3" s="73" t="s">
        <v>121</v>
      </c>
      <c r="D3" s="160" t="s">
        <v>307</v>
      </c>
      <c r="E3" s="159" t="s">
        <v>225</v>
      </c>
      <c r="F3" s="73" t="s">
        <v>238</v>
      </c>
      <c r="G3" s="159" t="s">
        <v>310</v>
      </c>
      <c r="H3" s="159" t="s">
        <v>311</v>
      </c>
      <c r="I3" s="159"/>
      <c r="J3" s="159"/>
      <c r="K3" s="159" t="s">
        <v>314</v>
      </c>
      <c r="L3" s="159"/>
    </row>
    <row r="4" spans="1:12" x14ac:dyDescent="0.25">
      <c r="A4" s="159"/>
      <c r="B4" s="159"/>
      <c r="C4" s="73" t="s">
        <v>306</v>
      </c>
      <c r="D4" s="161"/>
      <c r="E4" s="159"/>
      <c r="F4" s="73" t="s">
        <v>308</v>
      </c>
      <c r="G4" s="159"/>
      <c r="H4" s="74" t="s">
        <v>312</v>
      </c>
      <c r="I4" s="74" t="s">
        <v>313</v>
      </c>
      <c r="J4" s="74" t="s">
        <v>315</v>
      </c>
      <c r="K4" s="159"/>
      <c r="L4" s="159"/>
    </row>
    <row r="5" spans="1:12" x14ac:dyDescent="0.25">
      <c r="A5" s="69">
        <v>1</v>
      </c>
      <c r="B5" s="65" t="s">
        <v>297</v>
      </c>
      <c r="C5" s="65" t="s">
        <v>316</v>
      </c>
      <c r="D5" s="65">
        <v>12</v>
      </c>
      <c r="E5" s="65" t="s">
        <v>332</v>
      </c>
      <c r="F5" s="65" t="str">
        <f t="shared" ref="F5:F16" si="0">VLOOKUP(E5,$A$18:$C$26,2,FALSE)</f>
        <v>SUPRA FIT</v>
      </c>
      <c r="G5" s="71">
        <f t="shared" ref="G5:G16" si="1">VLOOKUP(E5,$A$18:$C$26,3,FALSE)</f>
        <v>13700000</v>
      </c>
      <c r="H5" s="71">
        <f t="shared" ref="H5:H16" si="2">G5/D5</f>
        <v>1141666.66666667</v>
      </c>
      <c r="I5" s="72">
        <f t="shared" ref="I5:I16" si="3">G5*2.5%</f>
        <v>342500</v>
      </c>
      <c r="J5" s="72">
        <f t="shared" ref="J5:J16" si="4">H5+I5</f>
        <v>1484166.66666667</v>
      </c>
      <c r="K5" s="157">
        <f t="shared" ref="K5:K16" si="5">J5*D5</f>
        <v>17810000</v>
      </c>
      <c r="L5" s="158"/>
    </row>
    <row r="6" spans="1:12" x14ac:dyDescent="0.25">
      <c r="A6" s="69">
        <v>2</v>
      </c>
      <c r="B6" s="65" t="s">
        <v>298</v>
      </c>
      <c r="C6" s="65" t="s">
        <v>317</v>
      </c>
      <c r="D6" s="65">
        <v>24</v>
      </c>
      <c r="E6" s="65" t="s">
        <v>336</v>
      </c>
      <c r="F6" s="65" t="str">
        <f t="shared" si="0"/>
        <v>SHOGUN</v>
      </c>
      <c r="G6" s="71">
        <f t="shared" si="1"/>
        <v>10250000</v>
      </c>
      <c r="H6" s="71">
        <f t="shared" si="2"/>
        <v>427083.33333333302</v>
      </c>
      <c r="I6" s="72">
        <f t="shared" si="3"/>
        <v>256250</v>
      </c>
      <c r="J6" s="72">
        <f t="shared" si="4"/>
        <v>683333.33333333302</v>
      </c>
      <c r="K6" s="157">
        <f t="shared" si="5"/>
        <v>16400000</v>
      </c>
      <c r="L6" s="158"/>
    </row>
    <row r="7" spans="1:12" x14ac:dyDescent="0.25">
      <c r="A7" s="69">
        <v>3</v>
      </c>
      <c r="B7" s="65" t="s">
        <v>299</v>
      </c>
      <c r="C7" s="65" t="s">
        <v>318</v>
      </c>
      <c r="D7" s="65">
        <v>30</v>
      </c>
      <c r="E7" s="65" t="s">
        <v>337</v>
      </c>
      <c r="F7" s="65" t="str">
        <f t="shared" si="0"/>
        <v>JUPITER Z</v>
      </c>
      <c r="G7" s="71">
        <f t="shared" si="1"/>
        <v>12750000</v>
      </c>
      <c r="H7" s="71">
        <f t="shared" si="2"/>
        <v>425000</v>
      </c>
      <c r="I7" s="72">
        <f t="shared" si="3"/>
        <v>318750</v>
      </c>
      <c r="J7" s="72">
        <f t="shared" si="4"/>
        <v>743750</v>
      </c>
      <c r="K7" s="157">
        <f t="shared" si="5"/>
        <v>22312500</v>
      </c>
      <c r="L7" s="158"/>
    </row>
    <row r="8" spans="1:12" x14ac:dyDescent="0.25">
      <c r="A8" s="69">
        <v>4</v>
      </c>
      <c r="B8" s="65" t="s">
        <v>300</v>
      </c>
      <c r="C8" s="65" t="s">
        <v>319</v>
      </c>
      <c r="D8" s="65">
        <v>36</v>
      </c>
      <c r="E8" s="65" t="s">
        <v>328</v>
      </c>
      <c r="F8" s="65" t="str">
        <f t="shared" si="0"/>
        <v>NOUVO</v>
      </c>
      <c r="G8" s="71">
        <f t="shared" si="1"/>
        <v>10250000</v>
      </c>
      <c r="H8" s="71">
        <f t="shared" si="2"/>
        <v>284722.22222222202</v>
      </c>
      <c r="I8" s="72">
        <f t="shared" si="3"/>
        <v>256250</v>
      </c>
      <c r="J8" s="72">
        <f t="shared" si="4"/>
        <v>540972.22222222202</v>
      </c>
      <c r="K8" s="157">
        <f t="shared" si="5"/>
        <v>19475000</v>
      </c>
      <c r="L8" s="158"/>
    </row>
    <row r="9" spans="1:12" x14ac:dyDescent="0.25">
      <c r="A9" s="69">
        <v>5</v>
      </c>
      <c r="B9" s="65" t="s">
        <v>305</v>
      </c>
      <c r="C9" s="65" t="s">
        <v>320</v>
      </c>
      <c r="D9" s="65">
        <v>36</v>
      </c>
      <c r="E9" s="65" t="s">
        <v>332</v>
      </c>
      <c r="F9" s="65" t="str">
        <f t="shared" si="0"/>
        <v>SUPRA FIT</v>
      </c>
      <c r="G9" s="71">
        <f t="shared" si="1"/>
        <v>13700000</v>
      </c>
      <c r="H9" s="71">
        <f t="shared" si="2"/>
        <v>380555.55555555603</v>
      </c>
      <c r="I9" s="72">
        <f t="shared" si="3"/>
        <v>342500</v>
      </c>
      <c r="J9" s="72">
        <f t="shared" si="4"/>
        <v>723055.55555555597</v>
      </c>
      <c r="K9" s="157">
        <f t="shared" si="5"/>
        <v>26030000</v>
      </c>
      <c r="L9" s="158"/>
    </row>
    <row r="10" spans="1:12" x14ac:dyDescent="0.25">
      <c r="A10" s="69">
        <v>6</v>
      </c>
      <c r="B10" s="65" t="s">
        <v>301</v>
      </c>
      <c r="C10" s="65" t="s">
        <v>321</v>
      </c>
      <c r="D10" s="65">
        <v>24</v>
      </c>
      <c r="E10" s="65" t="s">
        <v>329</v>
      </c>
      <c r="F10" s="65" t="str">
        <f t="shared" si="0"/>
        <v>BEAT</v>
      </c>
      <c r="G10" s="71">
        <f t="shared" si="1"/>
        <v>11500000</v>
      </c>
      <c r="H10" s="71">
        <f t="shared" si="2"/>
        <v>479166.66666666698</v>
      </c>
      <c r="I10" s="72">
        <f t="shared" si="3"/>
        <v>287500</v>
      </c>
      <c r="J10" s="72">
        <f t="shared" si="4"/>
        <v>766666.66666666698</v>
      </c>
      <c r="K10" s="157">
        <f t="shared" si="5"/>
        <v>18400000</v>
      </c>
      <c r="L10" s="158"/>
    </row>
    <row r="11" spans="1:12" x14ac:dyDescent="0.25">
      <c r="A11" s="69">
        <v>7</v>
      </c>
      <c r="B11" s="65" t="s">
        <v>302</v>
      </c>
      <c r="C11" s="65" t="s">
        <v>322</v>
      </c>
      <c r="D11" s="65">
        <v>30</v>
      </c>
      <c r="E11" s="65" t="s">
        <v>330</v>
      </c>
      <c r="F11" s="65" t="str">
        <f t="shared" si="0"/>
        <v>SATRIA</v>
      </c>
      <c r="G11" s="71">
        <f t="shared" si="1"/>
        <v>22200000</v>
      </c>
      <c r="H11" s="71">
        <f t="shared" si="2"/>
        <v>740000</v>
      </c>
      <c r="I11" s="72">
        <f t="shared" si="3"/>
        <v>555000</v>
      </c>
      <c r="J11" s="72">
        <f t="shared" si="4"/>
        <v>1295000</v>
      </c>
      <c r="K11" s="157">
        <f t="shared" si="5"/>
        <v>38850000</v>
      </c>
      <c r="L11" s="158"/>
    </row>
    <row r="12" spans="1:12" x14ac:dyDescent="0.25">
      <c r="A12" s="69">
        <v>8</v>
      </c>
      <c r="B12" s="65" t="s">
        <v>191</v>
      </c>
      <c r="C12" s="65" t="s">
        <v>323</v>
      </c>
      <c r="D12" s="65">
        <v>12</v>
      </c>
      <c r="E12" s="65" t="s">
        <v>329</v>
      </c>
      <c r="F12" s="65" t="str">
        <f t="shared" si="0"/>
        <v>BEAT</v>
      </c>
      <c r="G12" s="71">
        <f t="shared" si="1"/>
        <v>11500000</v>
      </c>
      <c r="H12" s="71">
        <f t="shared" si="2"/>
        <v>958333.33333333302</v>
      </c>
      <c r="I12" s="72">
        <f t="shared" si="3"/>
        <v>287500</v>
      </c>
      <c r="J12" s="72">
        <f t="shared" si="4"/>
        <v>1245833.33333333</v>
      </c>
      <c r="K12" s="157">
        <f t="shared" si="5"/>
        <v>14950000</v>
      </c>
      <c r="L12" s="158"/>
    </row>
    <row r="13" spans="1:12" x14ac:dyDescent="0.25">
      <c r="A13" s="69">
        <v>9</v>
      </c>
      <c r="B13" s="65" t="s">
        <v>124</v>
      </c>
      <c r="C13" s="65" t="s">
        <v>324</v>
      </c>
      <c r="D13" s="65">
        <v>30</v>
      </c>
      <c r="E13" s="65" t="s">
        <v>331</v>
      </c>
      <c r="F13" s="65" t="str">
        <f t="shared" si="0"/>
        <v>MIO</v>
      </c>
      <c r="G13" s="71">
        <f t="shared" si="1"/>
        <v>12000000</v>
      </c>
      <c r="H13" s="71">
        <f t="shared" si="2"/>
        <v>400000</v>
      </c>
      <c r="I13" s="72">
        <f t="shared" si="3"/>
        <v>300000</v>
      </c>
      <c r="J13" s="72">
        <f t="shared" si="4"/>
        <v>700000</v>
      </c>
      <c r="K13" s="157">
        <f t="shared" si="5"/>
        <v>21000000</v>
      </c>
      <c r="L13" s="158"/>
    </row>
    <row r="14" spans="1:12" x14ac:dyDescent="0.25">
      <c r="A14" s="69">
        <v>10</v>
      </c>
      <c r="B14" s="65" t="s">
        <v>303</v>
      </c>
      <c r="C14" s="65" t="s">
        <v>325</v>
      </c>
      <c r="D14" s="65">
        <v>36</v>
      </c>
      <c r="E14" s="65" t="s">
        <v>330</v>
      </c>
      <c r="F14" s="65" t="str">
        <f t="shared" si="0"/>
        <v>SATRIA</v>
      </c>
      <c r="G14" s="71">
        <f t="shared" si="1"/>
        <v>22200000</v>
      </c>
      <c r="H14" s="71">
        <f t="shared" si="2"/>
        <v>616666.66666666698</v>
      </c>
      <c r="I14" s="72">
        <f t="shared" si="3"/>
        <v>555000</v>
      </c>
      <c r="J14" s="72">
        <f t="shared" si="4"/>
        <v>1171666.66666667</v>
      </c>
      <c r="K14" s="157">
        <f t="shared" si="5"/>
        <v>42180000</v>
      </c>
      <c r="L14" s="158"/>
    </row>
    <row r="15" spans="1:12" x14ac:dyDescent="0.25">
      <c r="A15" s="69">
        <v>11</v>
      </c>
      <c r="B15" s="65" t="s">
        <v>304</v>
      </c>
      <c r="C15" s="65" t="s">
        <v>326</v>
      </c>
      <c r="D15" s="65">
        <v>12</v>
      </c>
      <c r="E15" s="65" t="s">
        <v>331</v>
      </c>
      <c r="F15" s="65" t="str">
        <f t="shared" si="0"/>
        <v>MIO</v>
      </c>
      <c r="G15" s="71">
        <f t="shared" si="1"/>
        <v>12000000</v>
      </c>
      <c r="H15" s="71">
        <f t="shared" si="2"/>
        <v>1000000</v>
      </c>
      <c r="I15" s="72">
        <f t="shared" si="3"/>
        <v>300000</v>
      </c>
      <c r="J15" s="72">
        <f t="shared" si="4"/>
        <v>1300000</v>
      </c>
      <c r="K15" s="157">
        <f t="shared" si="5"/>
        <v>15600000</v>
      </c>
      <c r="L15" s="158"/>
    </row>
    <row r="16" spans="1:12" x14ac:dyDescent="0.25">
      <c r="A16" s="69">
        <v>12</v>
      </c>
      <c r="B16" s="65" t="s">
        <v>127</v>
      </c>
      <c r="C16" s="65" t="s">
        <v>327</v>
      </c>
      <c r="D16" s="65">
        <v>36</v>
      </c>
      <c r="E16" s="65" t="s">
        <v>328</v>
      </c>
      <c r="F16" s="65" t="str">
        <f t="shared" si="0"/>
        <v>NOUVO</v>
      </c>
      <c r="G16" s="71">
        <f t="shared" si="1"/>
        <v>10250000</v>
      </c>
      <c r="H16" s="71">
        <f t="shared" si="2"/>
        <v>284722.22222222202</v>
      </c>
      <c r="I16" s="72">
        <f t="shared" si="3"/>
        <v>256250</v>
      </c>
      <c r="J16" s="72">
        <f t="shared" si="4"/>
        <v>540972.22222222202</v>
      </c>
      <c r="K16" s="157">
        <f t="shared" si="5"/>
        <v>19475000</v>
      </c>
      <c r="L16" s="158"/>
    </row>
    <row r="18" spans="1:3" ht="30" x14ac:dyDescent="0.25">
      <c r="A18" s="76" t="s">
        <v>121</v>
      </c>
      <c r="B18" s="75" t="s">
        <v>333</v>
      </c>
      <c r="C18" s="76" t="s">
        <v>235</v>
      </c>
    </row>
    <row r="19" spans="1:3" x14ac:dyDescent="0.25">
      <c r="A19" t="s">
        <v>329</v>
      </c>
      <c r="B19" t="s">
        <v>334</v>
      </c>
      <c r="C19">
        <v>11500000</v>
      </c>
    </row>
    <row r="20" spans="1:3" x14ac:dyDescent="0.25">
      <c r="A20" t="s">
        <v>332</v>
      </c>
      <c r="B20" t="s">
        <v>335</v>
      </c>
      <c r="C20">
        <v>13700000</v>
      </c>
    </row>
    <row r="21" spans="1:3" x14ac:dyDescent="0.25">
      <c r="A21" t="s">
        <v>336</v>
      </c>
      <c r="B21" t="s">
        <v>338</v>
      </c>
      <c r="C21">
        <v>10250000</v>
      </c>
    </row>
    <row r="22" spans="1:3" x14ac:dyDescent="0.25">
      <c r="A22" t="s">
        <v>344</v>
      </c>
      <c r="B22" t="s">
        <v>339</v>
      </c>
      <c r="C22">
        <v>10500000</v>
      </c>
    </row>
    <row r="23" spans="1:3" x14ac:dyDescent="0.25">
      <c r="A23" t="s">
        <v>330</v>
      </c>
      <c r="B23" t="s">
        <v>340</v>
      </c>
      <c r="C23">
        <v>22200000</v>
      </c>
    </row>
    <row r="24" spans="1:3" x14ac:dyDescent="0.25">
      <c r="A24" t="s">
        <v>337</v>
      </c>
      <c r="B24" t="s">
        <v>341</v>
      </c>
      <c r="C24">
        <v>12750000</v>
      </c>
    </row>
    <row r="25" spans="1:3" x14ac:dyDescent="0.25">
      <c r="A25" t="s">
        <v>331</v>
      </c>
      <c r="B25" t="s">
        <v>342</v>
      </c>
      <c r="C25">
        <v>12000000</v>
      </c>
    </row>
    <row r="26" spans="1:3" x14ac:dyDescent="0.25">
      <c r="A26" t="s">
        <v>328</v>
      </c>
      <c r="B26" t="s">
        <v>343</v>
      </c>
      <c r="C26">
        <v>10250000</v>
      </c>
    </row>
  </sheetData>
  <mergeCells count="19">
    <mergeCell ref="K9:L9"/>
    <mergeCell ref="B3:B4"/>
    <mergeCell ref="A3:A4"/>
    <mergeCell ref="D3:D4"/>
    <mergeCell ref="E3:E4"/>
    <mergeCell ref="G3:G4"/>
    <mergeCell ref="H3:J3"/>
    <mergeCell ref="K3:L4"/>
    <mergeCell ref="K5:L5"/>
    <mergeCell ref="K6:L6"/>
    <mergeCell ref="K7:L7"/>
    <mergeCell ref="K8:L8"/>
    <mergeCell ref="K16:L16"/>
    <mergeCell ref="K10:L10"/>
    <mergeCell ref="K11:L11"/>
    <mergeCell ref="K12:L12"/>
    <mergeCell ref="K13:L13"/>
    <mergeCell ref="K14:L14"/>
    <mergeCell ref="K15:L15"/>
  </mergeCells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9"/>
  <sheetViews>
    <sheetView workbookViewId="0">
      <selection activeCell="D12" sqref="D12"/>
    </sheetView>
  </sheetViews>
  <sheetFormatPr defaultRowHeight="15" x14ac:dyDescent="0.25"/>
  <cols>
    <col min="2" max="2" width="21.28515625" customWidth="1"/>
    <col min="3" max="3" width="21" customWidth="1"/>
    <col min="4" max="4" width="24" style="80" customWidth="1"/>
    <col min="5" max="5" width="20.85546875" customWidth="1"/>
    <col min="7" max="7" width="15.42578125" customWidth="1"/>
    <col min="8" max="8" width="11.28515625" customWidth="1"/>
    <col min="9" max="9" width="12" customWidth="1"/>
    <col min="10" max="11" width="12.28515625" customWidth="1"/>
  </cols>
  <sheetData>
    <row r="4" spans="2:11" x14ac:dyDescent="0.25">
      <c r="B4" s="79" t="s">
        <v>345</v>
      </c>
      <c r="C4" s="79" t="s">
        <v>351</v>
      </c>
      <c r="D4" s="79" t="s">
        <v>352</v>
      </c>
      <c r="E4" s="79" t="s">
        <v>353</v>
      </c>
      <c r="G4" s="77" t="s">
        <v>354</v>
      </c>
      <c r="H4" s="81">
        <v>1</v>
      </c>
      <c r="I4" s="81">
        <v>2</v>
      </c>
      <c r="J4" s="81">
        <v>3</v>
      </c>
      <c r="K4" s="81">
        <v>4</v>
      </c>
    </row>
    <row r="5" spans="2:11" x14ac:dyDescent="0.25">
      <c r="B5" s="79" t="s">
        <v>346</v>
      </c>
      <c r="C5" s="78" t="s">
        <v>368</v>
      </c>
      <c r="D5" s="85">
        <v>100000</v>
      </c>
      <c r="E5" s="78" t="s">
        <v>359</v>
      </c>
      <c r="G5" s="77" t="s">
        <v>355</v>
      </c>
      <c r="H5" s="77" t="s">
        <v>355</v>
      </c>
      <c r="I5" s="77" t="s">
        <v>356</v>
      </c>
      <c r="J5" s="77" t="s">
        <v>357</v>
      </c>
      <c r="K5" s="77" t="s">
        <v>358</v>
      </c>
    </row>
    <row r="6" spans="2:11" x14ac:dyDescent="0.25">
      <c r="B6" s="79" t="s">
        <v>347</v>
      </c>
      <c r="C6" s="78" t="s">
        <v>364</v>
      </c>
      <c r="D6" s="85">
        <v>450000</v>
      </c>
      <c r="E6" s="78" t="s">
        <v>360</v>
      </c>
    </row>
    <row r="7" spans="2:11" x14ac:dyDescent="0.25">
      <c r="B7" s="79" t="s">
        <v>348</v>
      </c>
      <c r="C7" s="78" t="s">
        <v>365</v>
      </c>
      <c r="D7" s="85">
        <v>300000</v>
      </c>
      <c r="E7" s="78" t="s">
        <v>361</v>
      </c>
    </row>
    <row r="8" spans="2:11" x14ac:dyDescent="0.25">
      <c r="B8" s="79" t="s">
        <v>349</v>
      </c>
      <c r="C8" s="78" t="s">
        <v>366</v>
      </c>
      <c r="D8" s="85">
        <v>600000</v>
      </c>
      <c r="E8" s="78" t="s">
        <v>362</v>
      </c>
    </row>
    <row r="9" spans="2:11" x14ac:dyDescent="0.25">
      <c r="B9" s="79" t="s">
        <v>350</v>
      </c>
      <c r="C9" s="78" t="s">
        <v>367</v>
      </c>
      <c r="D9" s="85">
        <v>300000</v>
      </c>
      <c r="E9" s="78" t="s">
        <v>363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9"/>
  <sheetViews>
    <sheetView workbookViewId="0">
      <selection activeCell="K10" sqref="K10"/>
    </sheetView>
  </sheetViews>
  <sheetFormatPr defaultRowHeight="15" x14ac:dyDescent="0.25"/>
  <cols>
    <col min="3" max="3" width="22.28515625" customWidth="1"/>
    <col min="4" max="4" width="19" customWidth="1"/>
    <col min="5" max="5" width="24.5703125" customWidth="1"/>
    <col min="7" max="7" width="15.7109375" customWidth="1"/>
    <col min="8" max="8" width="14.85546875" customWidth="1"/>
    <col min="9" max="9" width="23.5703125" customWidth="1"/>
    <col min="10" max="10" width="20" customWidth="1"/>
    <col min="11" max="11" width="14" bestFit="1" customWidth="1"/>
  </cols>
  <sheetData>
    <row r="3" spans="2:11" ht="30" x14ac:dyDescent="0.25">
      <c r="B3" s="86" t="s">
        <v>121</v>
      </c>
      <c r="C3" s="86" t="s">
        <v>369</v>
      </c>
      <c r="D3" s="86" t="s">
        <v>370</v>
      </c>
      <c r="E3" s="86" t="s">
        <v>371</v>
      </c>
      <c r="F3" s="86" t="s">
        <v>372</v>
      </c>
      <c r="G3" s="86" t="s">
        <v>373</v>
      </c>
      <c r="H3" s="87" t="s">
        <v>374</v>
      </c>
      <c r="I3" s="86" t="s">
        <v>375</v>
      </c>
      <c r="J3" s="86" t="s">
        <v>376</v>
      </c>
      <c r="K3" s="86" t="s">
        <v>377</v>
      </c>
    </row>
    <row r="4" spans="2:11" x14ac:dyDescent="0.25">
      <c r="B4" s="84">
        <v>1</v>
      </c>
      <c r="C4" s="82" t="s">
        <v>378</v>
      </c>
      <c r="D4" s="84" t="s">
        <v>379</v>
      </c>
      <c r="E4" s="82" t="str">
        <f>VLOOKUP(LEFT(C4,2),[1]Sheet3!$C$5:$F$10,2,FALSE)</f>
        <v>MICROSOFT OFFICE</v>
      </c>
      <c r="F4" s="84" t="str">
        <f>HLOOKUP(RIGHT(C4,1),[1]Sheet3!$I$5:$M$6,1,FALSE)</f>
        <v>2</v>
      </c>
      <c r="G4" s="82" t="str">
        <f>HLOOKUP(RIGHT(C4,1),[1]Sheet3!$I$5:$M$6,2,FALSE)</f>
        <v>WIRAUSAHA</v>
      </c>
      <c r="H4" s="82" t="str">
        <f>VLOOKUP(LEFT(C4,2),[1]Sheet3!$C$5:$F$10,4,FALSE)</f>
        <v>SENIN-KAMIS</v>
      </c>
      <c r="I4" s="83">
        <f>VLOOKUP(LEFT(C4,2),[1]Sheet3!$C$5:$F$10,3,FALSE)</f>
        <v>300000</v>
      </c>
      <c r="J4" s="88">
        <f t="shared" ref="J4:J19" si="0">IF(OR(E4="SENIOR PROGRAMMING",G4="PELAJAR"),15%,0)*I4</f>
        <v>0</v>
      </c>
      <c r="K4" s="83">
        <f>SUM(I4)</f>
        <v>300000</v>
      </c>
    </row>
    <row r="5" spans="2:11" x14ac:dyDescent="0.25">
      <c r="B5" s="84">
        <v>2</v>
      </c>
      <c r="C5" s="82" t="s">
        <v>380</v>
      </c>
      <c r="D5" s="84" t="s">
        <v>381</v>
      </c>
      <c r="E5" s="82" t="str">
        <f>VLOOKUP(LEFT(C5,2),[1]Sheet3!$C$5:$F$10,2,FALSE)</f>
        <v>COMPUTER INTRODUCTION</v>
      </c>
      <c r="F5" s="84" t="str">
        <f>HLOOKUP(RIGHT(C5,1),[1]Sheet3!$I$5:$M$6,1,FALSE)</f>
        <v>1</v>
      </c>
      <c r="G5" s="82" t="str">
        <f>HLOOKUP(RIGHT(C5,1),[1]Sheet3!$I$5:$M$6,2,FALSE)</f>
        <v>PELAJAR</v>
      </c>
      <c r="H5" s="82" t="str">
        <f>VLOOKUP(LEFT(C5,2),[1]Sheet3!$C$5:$F$10,4,FALSE)</f>
        <v>SENIN-SELASA</v>
      </c>
      <c r="I5" s="83">
        <f>VLOOKUP(LEFT(C5,2),[1]Sheet3!$C$5:$F$10,3,FALSE)</f>
        <v>100000</v>
      </c>
      <c r="J5" s="88">
        <f t="shared" si="0"/>
        <v>15000</v>
      </c>
      <c r="K5" s="83">
        <f>I5-J5</f>
        <v>85000</v>
      </c>
    </row>
    <row r="6" spans="2:11" x14ac:dyDescent="0.25">
      <c r="B6" s="84">
        <v>3</v>
      </c>
      <c r="C6" s="82" t="s">
        <v>382</v>
      </c>
      <c r="D6" s="84" t="s">
        <v>383</v>
      </c>
      <c r="E6" s="82" t="str">
        <f>VLOOKUP(LEFT(C6,2),[1]Sheet3!$C$5:$F$10,2,FALSE)</f>
        <v>YUNIOR PROGRAMMING</v>
      </c>
      <c r="F6" s="84" t="str">
        <f>HLOOKUP(RIGHT(C6,1),[1]Sheet3!$I$5:$M$6,1,FALSE)</f>
        <v>4</v>
      </c>
      <c r="G6" s="82" t="str">
        <f>HLOOKUP(RIGHT(C6,1),[1]Sheet3!$I$5:$M$6,2,FALSE)</f>
        <v>PNS</v>
      </c>
      <c r="H6" s="82" t="str">
        <f>VLOOKUP(LEFT(C6,2),[1]Sheet3!$C$5:$F$10,4,FALSE)</f>
        <v>SENIN-SABTU</v>
      </c>
      <c r="I6" s="83">
        <f>VLOOKUP(LEFT(C6,2),[1]Sheet3!$C$5:$F$10,3,FALSE)</f>
        <v>300000</v>
      </c>
      <c r="J6" s="88">
        <f t="shared" si="0"/>
        <v>0</v>
      </c>
      <c r="K6" s="83">
        <f>SUM(I6)</f>
        <v>300000</v>
      </c>
    </row>
    <row r="7" spans="2:11" x14ac:dyDescent="0.25">
      <c r="B7" s="84">
        <v>4</v>
      </c>
      <c r="C7" s="82" t="s">
        <v>384</v>
      </c>
      <c r="D7" s="84" t="s">
        <v>385</v>
      </c>
      <c r="E7" s="82" t="str">
        <f>VLOOKUP(LEFT(C7,2),[1]Sheet3!$C$5:$F$10,2,FALSE)</f>
        <v>SENIOR PROGRAMMING</v>
      </c>
      <c r="F7" s="84" t="str">
        <f>HLOOKUP(RIGHT(C7,1),[1]Sheet3!$I$5:$M$6,1,FALSE)</f>
        <v>2</v>
      </c>
      <c r="G7" s="82" t="str">
        <f>HLOOKUP(RIGHT(C7,1),[1]Sheet3!$I$5:$M$6,2,FALSE)</f>
        <v>WIRAUSAHA</v>
      </c>
      <c r="H7" s="82" t="str">
        <f>VLOOKUP(LEFT(C7,2),[1]Sheet3!$C$5:$F$10,4,FALSE)</f>
        <v>SENIN-JUMAT</v>
      </c>
      <c r="I7" s="83">
        <f>VLOOKUP(LEFT(C7,2),[1]Sheet3!$C$5:$F$10,3,FALSE)</f>
        <v>600000</v>
      </c>
      <c r="J7" s="88">
        <f t="shared" si="0"/>
        <v>90000</v>
      </c>
      <c r="K7" s="83">
        <f>I7-J7</f>
        <v>510000</v>
      </c>
    </row>
    <row r="8" spans="2:11" x14ac:dyDescent="0.25">
      <c r="B8" s="84">
        <v>5</v>
      </c>
      <c r="C8" s="82" t="s">
        <v>386</v>
      </c>
      <c r="D8" s="84" t="s">
        <v>387</v>
      </c>
      <c r="E8" s="82" t="str">
        <f>VLOOKUP(LEFT(C8,2),[1]Sheet3!$C$5:$F$10,2,FALSE)</f>
        <v>MICROSOFT OFFICE</v>
      </c>
      <c r="F8" s="84" t="str">
        <f>HLOOKUP(RIGHT(C8,1),[1]Sheet3!$I$5:$M$6,1,FALSE)</f>
        <v>2</v>
      </c>
      <c r="G8" s="82" t="str">
        <f>HLOOKUP(RIGHT(C8,1),[1]Sheet3!$I$5:$M$6,2,FALSE)</f>
        <v>WIRAUSAHA</v>
      </c>
      <c r="H8" s="82" t="str">
        <f>VLOOKUP(LEFT(C8,2),[1]Sheet3!$C$5:$F$10,4,FALSE)</f>
        <v>SENIN-KAMIS</v>
      </c>
      <c r="I8" s="83">
        <f>VLOOKUP(LEFT(C8,2),[1]Sheet3!$C$5:$F$10,3,FALSE)</f>
        <v>300000</v>
      </c>
      <c r="J8" s="88">
        <f t="shared" si="0"/>
        <v>0</v>
      </c>
      <c r="K8" s="83">
        <f>SUM(I8)</f>
        <v>300000</v>
      </c>
    </row>
    <row r="9" spans="2:11" x14ac:dyDescent="0.25">
      <c r="B9" s="84">
        <v>6</v>
      </c>
      <c r="C9" s="82" t="s">
        <v>388</v>
      </c>
      <c r="D9" s="84" t="s">
        <v>389</v>
      </c>
      <c r="E9" s="82" t="str">
        <f>VLOOKUP(LEFT(C9,2),[1]Sheet3!$C$5:$F$10,2,FALSE)</f>
        <v>MICROSOFT OFFICE</v>
      </c>
      <c r="F9" s="84" t="str">
        <f>HLOOKUP(RIGHT(C9,1),[1]Sheet3!$I$5:$M$6,1,FALSE)</f>
        <v>4</v>
      </c>
      <c r="G9" s="82" t="str">
        <f>HLOOKUP(RIGHT(C9,1),[1]Sheet3!$I$5:$M$6,2,FALSE)</f>
        <v>PNS</v>
      </c>
      <c r="H9" s="82" t="str">
        <f>VLOOKUP(LEFT(C9,2),[1]Sheet3!$C$5:$F$10,4,FALSE)</f>
        <v>SENIN-KAMIS</v>
      </c>
      <c r="I9" s="83">
        <f>VLOOKUP(LEFT(C9,2),[1]Sheet3!$C$5:$F$10,3,FALSE)</f>
        <v>300000</v>
      </c>
      <c r="J9" s="88">
        <f t="shared" si="0"/>
        <v>0</v>
      </c>
      <c r="K9" s="83">
        <f>SUM(I9)</f>
        <v>300000</v>
      </c>
    </row>
    <row r="10" spans="2:11" x14ac:dyDescent="0.25">
      <c r="B10" s="84">
        <v>7</v>
      </c>
      <c r="C10" s="82" t="s">
        <v>390</v>
      </c>
      <c r="D10" s="84" t="s">
        <v>391</v>
      </c>
      <c r="E10" s="82" t="str">
        <f>VLOOKUP(LEFT(C10,2),[1]Sheet3!$C$5:$F$10,2,FALSE)</f>
        <v>COMPUTER INTRODUCTION</v>
      </c>
      <c r="F10" s="84" t="str">
        <f>HLOOKUP(RIGHT(C10,1),[1]Sheet3!$I$5:$M$6,1,FALSE)</f>
        <v>1</v>
      </c>
      <c r="G10" s="82" t="str">
        <f>HLOOKUP(RIGHT(C10,1),[1]Sheet3!$I$5:$M$6,2,FALSE)</f>
        <v>PELAJAR</v>
      </c>
      <c r="H10" s="82" t="str">
        <f>VLOOKUP(LEFT(C10,2),[1]Sheet3!$C$5:$F$10,4,FALSE)</f>
        <v>SENIN-SELASA</v>
      </c>
      <c r="I10" s="83">
        <f>VLOOKUP(LEFT(C10,2),[1]Sheet3!$C$5:$F$10,3,FALSE)</f>
        <v>100000</v>
      </c>
      <c r="J10" s="88">
        <f t="shared" si="0"/>
        <v>15000</v>
      </c>
      <c r="K10" s="83">
        <f>I10-J10</f>
        <v>85000</v>
      </c>
    </row>
    <row r="11" spans="2:11" x14ac:dyDescent="0.25">
      <c r="B11" s="84">
        <v>8</v>
      </c>
      <c r="C11" s="82" t="s">
        <v>392</v>
      </c>
      <c r="D11" s="84" t="s">
        <v>393</v>
      </c>
      <c r="E11" s="82" t="str">
        <f>VLOOKUP(LEFT(C11,2),[1]Sheet3!$C$5:$F$10,2,FALSE)</f>
        <v>MICROSOFT OFFICE</v>
      </c>
      <c r="F11" s="84" t="str">
        <f>HLOOKUP(RIGHT(C11,1),[1]Sheet3!$I$5:$M$6,1,FALSE)</f>
        <v>3</v>
      </c>
      <c r="G11" s="82" t="str">
        <f>HLOOKUP(RIGHT(C11,1),[1]Sheet3!$I$5:$M$6,2,FALSE)</f>
        <v>SWASTA</v>
      </c>
      <c r="H11" s="82" t="str">
        <f>VLOOKUP(LEFT(C11,2),[1]Sheet3!$C$5:$F$10,4,FALSE)</f>
        <v>SENIN-KAMIS</v>
      </c>
      <c r="I11" s="83">
        <f>VLOOKUP(LEFT(C11,2),[1]Sheet3!$C$5:$F$10,3,FALSE)</f>
        <v>300000</v>
      </c>
      <c r="J11" s="88">
        <f t="shared" si="0"/>
        <v>0</v>
      </c>
      <c r="K11" s="83">
        <f>SUM(I11)</f>
        <v>300000</v>
      </c>
    </row>
    <row r="12" spans="2:11" x14ac:dyDescent="0.25">
      <c r="B12" s="84">
        <v>9</v>
      </c>
      <c r="C12" s="82" t="s">
        <v>394</v>
      </c>
      <c r="D12" s="84" t="s">
        <v>395</v>
      </c>
      <c r="E12" s="82" t="str">
        <f>VLOOKUP(LEFT(C12,2),[1]Sheet3!$C$5:$F$10,2,FALSE)</f>
        <v>GRAPHIC DESIGN</v>
      </c>
      <c r="F12" s="84" t="str">
        <f>HLOOKUP(RIGHT(C12,1),[1]Sheet3!$I$5:$M$6,1,FALSE)</f>
        <v>3</v>
      </c>
      <c r="G12" s="82" t="str">
        <f>HLOOKUP(RIGHT(C12,1),[1]Sheet3!$I$5:$M$6,2,FALSE)</f>
        <v>SWASTA</v>
      </c>
      <c r="H12" s="82" t="str">
        <f>VLOOKUP(LEFT(C12,2),[1]Sheet3!$C$5:$F$10,4,FALSE)</f>
        <v>SENIN-RABU</v>
      </c>
      <c r="I12" s="83">
        <f>VLOOKUP(LEFT(C12,2),[1]Sheet3!$C$5:$F$10,3,FALSE)</f>
        <v>450000</v>
      </c>
      <c r="J12" s="88">
        <f t="shared" si="0"/>
        <v>0</v>
      </c>
      <c r="K12" s="83">
        <f>SUM(I12)</f>
        <v>450000</v>
      </c>
    </row>
    <row r="13" spans="2:11" x14ac:dyDescent="0.25">
      <c r="B13" s="84">
        <v>10</v>
      </c>
      <c r="C13" s="82" t="s">
        <v>396</v>
      </c>
      <c r="D13" s="84" t="s">
        <v>397</v>
      </c>
      <c r="E13" s="82" t="str">
        <f>VLOOKUP(LEFT(C13,2),[1]Sheet3!$C$5:$F$10,2,FALSE)</f>
        <v>GRAPHIC DESIGN</v>
      </c>
      <c r="F13" s="84" t="str">
        <f>HLOOKUP(RIGHT(C13,1),[1]Sheet3!$I$5:$M$6,1,FALSE)</f>
        <v>2</v>
      </c>
      <c r="G13" s="82" t="str">
        <f>HLOOKUP(RIGHT(C13,1),[1]Sheet3!$I$5:$M$6,2,FALSE)</f>
        <v>WIRAUSAHA</v>
      </c>
      <c r="H13" s="82" t="str">
        <f>VLOOKUP(LEFT(C13,2),[1]Sheet3!$C$5:$F$10,4,FALSE)</f>
        <v>SENIN-RABU</v>
      </c>
      <c r="I13" s="83">
        <f>VLOOKUP(LEFT(C13,2),[1]Sheet3!$C$5:$F$10,3,FALSE)</f>
        <v>450000</v>
      </c>
      <c r="J13" s="88">
        <f t="shared" si="0"/>
        <v>0</v>
      </c>
      <c r="K13" s="83">
        <f>SUM(I13)</f>
        <v>450000</v>
      </c>
    </row>
    <row r="14" spans="2:11" x14ac:dyDescent="0.25">
      <c r="B14" s="84">
        <v>11</v>
      </c>
      <c r="C14" s="82" t="s">
        <v>398</v>
      </c>
      <c r="D14" s="84" t="s">
        <v>399</v>
      </c>
      <c r="E14" s="82" t="str">
        <f>VLOOKUP(LEFT(C14,2),[1]Sheet3!$C$5:$F$10,2,FALSE)</f>
        <v>GRAPHIC DESIGN</v>
      </c>
      <c r="F14" s="84" t="str">
        <f>HLOOKUP(RIGHT(C14,1),[1]Sheet3!$I$5:$M$6,1,FALSE)</f>
        <v>4</v>
      </c>
      <c r="G14" s="82" t="str">
        <f>HLOOKUP(RIGHT(C14,1),[1]Sheet3!$I$5:$M$6,2,FALSE)</f>
        <v>PNS</v>
      </c>
      <c r="H14" s="82" t="str">
        <f>VLOOKUP(LEFT(C14,2),[1]Sheet3!$C$5:$F$10,4,FALSE)</f>
        <v>SENIN-RABU</v>
      </c>
      <c r="I14" s="83">
        <f>VLOOKUP(LEFT(C14,2),[1]Sheet3!$C$5:$F$10,3,FALSE)</f>
        <v>450000</v>
      </c>
      <c r="J14" s="88">
        <f t="shared" si="0"/>
        <v>0</v>
      </c>
      <c r="K14" s="83">
        <f>SUM(I14)</f>
        <v>450000</v>
      </c>
    </row>
    <row r="15" spans="2:11" x14ac:dyDescent="0.25">
      <c r="B15" s="84">
        <v>12</v>
      </c>
      <c r="C15" s="82" t="s">
        <v>400</v>
      </c>
      <c r="D15" s="84" t="s">
        <v>401</v>
      </c>
      <c r="E15" s="82" t="str">
        <f>VLOOKUP(LEFT(C15,2),[1]Sheet3!$C$5:$F$10,2,FALSE)</f>
        <v>MICROSOFT OFFICE</v>
      </c>
      <c r="F15" s="84" t="str">
        <f>HLOOKUP(RIGHT(C15,1),[1]Sheet3!$I$5:$M$6,1,FALSE)</f>
        <v>2</v>
      </c>
      <c r="G15" s="82" t="str">
        <f>HLOOKUP(RIGHT(C15,1),[1]Sheet3!$I$5:$M$6,2,FALSE)</f>
        <v>WIRAUSAHA</v>
      </c>
      <c r="H15" s="82" t="str">
        <f>VLOOKUP(LEFT(C15,2),[1]Sheet3!$C$5:$F$10,4,FALSE)</f>
        <v>SENIN-KAMIS</v>
      </c>
      <c r="I15" s="83">
        <f>VLOOKUP(LEFT(C15,2),[1]Sheet3!$C$5:$F$10,3,FALSE)</f>
        <v>300000</v>
      </c>
      <c r="J15" s="88">
        <f t="shared" si="0"/>
        <v>0</v>
      </c>
      <c r="K15" s="83">
        <f>I15-J15</f>
        <v>300000</v>
      </c>
    </row>
    <row r="16" spans="2:11" x14ac:dyDescent="0.25">
      <c r="B16" s="84">
        <v>13</v>
      </c>
      <c r="C16" s="82" t="s">
        <v>402</v>
      </c>
      <c r="D16" s="84" t="s">
        <v>403</v>
      </c>
      <c r="E16" s="82" t="str">
        <f>VLOOKUP(LEFT(C16,2),[1]Sheet3!$C$5:$F$10,2,FALSE)</f>
        <v>SENIOR PROGRAMMING</v>
      </c>
      <c r="F16" s="84" t="str">
        <f>HLOOKUP(RIGHT(C16,1),[1]Sheet3!$I$5:$M$6,1,FALSE)</f>
        <v>1</v>
      </c>
      <c r="G16" s="82" t="str">
        <f>HLOOKUP(RIGHT(C16,1),[1]Sheet3!$I$5:$M$6,2,FALSE)</f>
        <v>PELAJAR</v>
      </c>
      <c r="H16" s="82" t="str">
        <f>VLOOKUP(LEFT(C16,2),[1]Sheet3!$C$5:$F$10,4,FALSE)</f>
        <v>SENIN-JUMAT</v>
      </c>
      <c r="I16" s="83">
        <f>VLOOKUP(LEFT(C16,2),[1]Sheet3!$C$5:$F$10,3,FALSE)</f>
        <v>600000</v>
      </c>
      <c r="J16" s="88">
        <f t="shared" si="0"/>
        <v>90000</v>
      </c>
      <c r="K16" s="83">
        <f>I16-J16</f>
        <v>510000</v>
      </c>
    </row>
    <row r="17" spans="2:11" x14ac:dyDescent="0.25">
      <c r="B17" s="84">
        <v>14</v>
      </c>
      <c r="C17" s="82" t="s">
        <v>404</v>
      </c>
      <c r="D17" s="84" t="s">
        <v>405</v>
      </c>
      <c r="E17" s="82" t="str">
        <f>VLOOKUP(LEFT(C17,2),[1]Sheet3!$C$5:$F$10,2,FALSE)</f>
        <v>SENIOR PROGRAMMING</v>
      </c>
      <c r="F17" s="84" t="str">
        <f>HLOOKUP(RIGHT(C17,1),[1]Sheet3!$I$5:$M$6,1,FALSE)</f>
        <v>3</v>
      </c>
      <c r="G17" s="82" t="str">
        <f>HLOOKUP(RIGHT(C17,1),[1]Sheet3!$I$5:$M$6,2,FALSE)</f>
        <v>SWASTA</v>
      </c>
      <c r="H17" s="82" t="str">
        <f>VLOOKUP(LEFT(C17,2),[1]Sheet3!$C$5:$F$10,4,FALSE)</f>
        <v>SENIN-JUMAT</v>
      </c>
      <c r="I17" s="83">
        <f>VLOOKUP(LEFT(C17,2),[1]Sheet3!$C$5:$F$10,3,FALSE)</f>
        <v>600000</v>
      </c>
      <c r="J17" s="88">
        <f t="shared" si="0"/>
        <v>90000</v>
      </c>
      <c r="K17" s="83">
        <f>SUM(I17)</f>
        <v>600000</v>
      </c>
    </row>
    <row r="18" spans="2:11" x14ac:dyDescent="0.25">
      <c r="B18" s="84">
        <v>15</v>
      </c>
      <c r="C18" s="82" t="s">
        <v>406</v>
      </c>
      <c r="D18" s="84" t="s">
        <v>407</v>
      </c>
      <c r="E18" s="82" t="str">
        <f>VLOOKUP(LEFT(C18,2),[1]Sheet3!$C$5:$F$10,2,FALSE)</f>
        <v>COMPUTER INTRODUCTION</v>
      </c>
      <c r="F18" s="84" t="str">
        <f>HLOOKUP(RIGHT(C18,1),[1]Sheet3!$I$5:$M$6,1,FALSE)</f>
        <v>4</v>
      </c>
      <c r="G18" s="82" t="str">
        <f>HLOOKUP(RIGHT(C18,1),[1]Sheet3!$I$5:$M$6,2,FALSE)</f>
        <v>PNS</v>
      </c>
      <c r="H18" s="82" t="str">
        <f>VLOOKUP(LEFT(C18,2),[1]Sheet3!$C$5:$F$10,4,FALSE)</f>
        <v>SENIN-SELASA</v>
      </c>
      <c r="I18" s="83">
        <f>VLOOKUP(LEFT(C18,2),[1]Sheet3!$C$5:$F$10,3,FALSE)</f>
        <v>100000</v>
      </c>
      <c r="J18" s="88">
        <f t="shared" si="0"/>
        <v>0</v>
      </c>
      <c r="K18" s="83">
        <f>SUM(I18)</f>
        <v>100000</v>
      </c>
    </row>
    <row r="19" spans="2:11" x14ac:dyDescent="0.25">
      <c r="B19" s="162" t="s">
        <v>224</v>
      </c>
      <c r="C19" s="162"/>
      <c r="D19" s="162"/>
      <c r="E19" s="162"/>
      <c r="F19" s="162"/>
      <c r="G19" s="162"/>
      <c r="H19" s="162"/>
      <c r="I19" s="83">
        <f>SUM(I4:I18)</f>
        <v>5250000</v>
      </c>
      <c r="J19" s="88">
        <f t="shared" si="0"/>
        <v>0</v>
      </c>
      <c r="K19" s="83">
        <f>SUM(K4:K18)</f>
        <v>5040000</v>
      </c>
    </row>
  </sheetData>
  <mergeCells count="1">
    <mergeCell ref="B19:H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J9" sqref="J9"/>
    </sheetView>
  </sheetViews>
  <sheetFormatPr defaultRowHeight="15" x14ac:dyDescent="0.25"/>
  <cols>
    <col min="3" max="3" width="9.7109375" bestFit="1" customWidth="1"/>
    <col min="5" max="5" width="9.7109375" bestFit="1" customWidth="1"/>
    <col min="9" max="9" width="14" bestFit="1" customWidth="1"/>
  </cols>
  <sheetData>
    <row r="1" spans="1:10" x14ac:dyDescent="0.25">
      <c r="A1" s="92" t="s">
        <v>31</v>
      </c>
      <c r="B1" s="92"/>
      <c r="C1" s="92"/>
      <c r="D1" s="92"/>
      <c r="E1" s="5">
        <f>TODAY()</f>
        <v>45334</v>
      </c>
    </row>
    <row r="2" spans="1:10" ht="30" x14ac:dyDescent="0.25">
      <c r="A2" s="8" t="s">
        <v>32</v>
      </c>
      <c r="B2" s="93" t="s">
        <v>1</v>
      </c>
      <c r="C2" s="94"/>
      <c r="D2" s="95"/>
      <c r="E2" s="96" t="s">
        <v>33</v>
      </c>
      <c r="F2" s="97"/>
      <c r="G2" s="96" t="s">
        <v>4</v>
      </c>
      <c r="H2" s="96"/>
      <c r="I2" s="96" t="s">
        <v>46</v>
      </c>
      <c r="J2" s="97"/>
    </row>
    <row r="3" spans="1:10" x14ac:dyDescent="0.25">
      <c r="A3" s="9" t="s">
        <v>34</v>
      </c>
      <c r="B3" s="98" t="s">
        <v>40</v>
      </c>
      <c r="C3" s="97"/>
      <c r="D3" s="99"/>
      <c r="E3" s="103">
        <v>32</v>
      </c>
      <c r="F3" s="103"/>
      <c r="G3" s="104">
        <v>350000</v>
      </c>
      <c r="H3" s="104"/>
      <c r="I3" s="10">
        <f t="shared" ref="I3:I8" si="0">E3*G3</f>
        <v>11200000</v>
      </c>
      <c r="J3" s="9"/>
    </row>
    <row r="4" spans="1:10" x14ac:dyDescent="0.25">
      <c r="A4" s="9" t="s">
        <v>35</v>
      </c>
      <c r="B4" s="100" t="s">
        <v>41</v>
      </c>
      <c r="C4" s="101"/>
      <c r="D4" s="102"/>
      <c r="E4" s="103">
        <v>23</v>
      </c>
      <c r="F4" s="103"/>
      <c r="G4" s="104">
        <v>225000</v>
      </c>
      <c r="H4" s="104"/>
      <c r="I4" s="10">
        <f t="shared" si="0"/>
        <v>5175000</v>
      </c>
      <c r="J4" s="9"/>
    </row>
    <row r="5" spans="1:10" x14ac:dyDescent="0.25">
      <c r="A5" s="9" t="s">
        <v>36</v>
      </c>
      <c r="B5" s="97" t="s">
        <v>42</v>
      </c>
      <c r="C5" s="97"/>
      <c r="D5" s="97"/>
      <c r="E5" s="103">
        <v>16</v>
      </c>
      <c r="F5" s="103"/>
      <c r="G5" s="104">
        <v>300000</v>
      </c>
      <c r="H5" s="104"/>
      <c r="I5" s="10">
        <f t="shared" si="0"/>
        <v>4800000</v>
      </c>
      <c r="J5" s="9"/>
    </row>
    <row r="6" spans="1:10" x14ac:dyDescent="0.25">
      <c r="A6" s="9" t="s">
        <v>37</v>
      </c>
      <c r="B6" s="97" t="s">
        <v>43</v>
      </c>
      <c r="C6" s="97"/>
      <c r="D6" s="97"/>
      <c r="E6" s="103">
        <v>17</v>
      </c>
      <c r="F6" s="103"/>
      <c r="G6" s="104">
        <v>400000</v>
      </c>
      <c r="H6" s="104"/>
      <c r="I6" s="10">
        <f t="shared" si="0"/>
        <v>6800000</v>
      </c>
      <c r="J6" s="9"/>
    </row>
    <row r="7" spans="1:10" x14ac:dyDescent="0.25">
      <c r="A7" s="9" t="s">
        <v>38</v>
      </c>
      <c r="B7" s="97" t="s">
        <v>44</v>
      </c>
      <c r="C7" s="97"/>
      <c r="D7" s="97"/>
      <c r="E7" s="103">
        <v>8</v>
      </c>
      <c r="F7" s="103"/>
      <c r="G7" s="104">
        <v>315000</v>
      </c>
      <c r="H7" s="104"/>
      <c r="I7" s="10">
        <f t="shared" si="0"/>
        <v>2520000</v>
      </c>
      <c r="J7" s="9"/>
    </row>
    <row r="8" spans="1:10" x14ac:dyDescent="0.25">
      <c r="A8" s="9" t="s">
        <v>39</v>
      </c>
      <c r="B8" s="97" t="s">
        <v>45</v>
      </c>
      <c r="C8" s="97"/>
      <c r="D8" s="97"/>
      <c r="E8" s="103">
        <v>45</v>
      </c>
      <c r="F8" s="103"/>
      <c r="G8" s="104">
        <v>275000</v>
      </c>
      <c r="H8" s="104"/>
      <c r="I8" s="10">
        <f t="shared" si="0"/>
        <v>12375000</v>
      </c>
      <c r="J8" s="9"/>
    </row>
    <row r="9" spans="1:10" x14ac:dyDescent="0.25">
      <c r="A9" s="11"/>
      <c r="B9" s="11"/>
      <c r="C9" s="11"/>
      <c r="D9" s="11"/>
      <c r="E9" s="11"/>
      <c r="F9" s="11"/>
      <c r="G9" s="92" t="s">
        <v>47</v>
      </c>
      <c r="H9" s="92"/>
      <c r="I9" s="12">
        <f>SUM(I3:I8)</f>
        <v>42870000</v>
      </c>
      <c r="J9" s="11"/>
    </row>
    <row r="17" spans="8:18" x14ac:dyDescent="0.25">
      <c r="H17" s="92" t="s">
        <v>31</v>
      </c>
      <c r="I17" s="92"/>
      <c r="J17" s="92"/>
      <c r="K17" s="92"/>
      <c r="L17" s="5">
        <f>TODAY()</f>
        <v>45334</v>
      </c>
    </row>
    <row r="18" spans="8:18" ht="30" x14ac:dyDescent="0.25">
      <c r="H18" s="8" t="s">
        <v>32</v>
      </c>
      <c r="I18" s="93" t="s">
        <v>1</v>
      </c>
      <c r="J18" s="94"/>
      <c r="K18" s="95"/>
      <c r="L18" s="96" t="s">
        <v>33</v>
      </c>
      <c r="M18" s="97"/>
      <c r="N18" s="96" t="s">
        <v>4</v>
      </c>
      <c r="O18" s="96"/>
      <c r="P18" s="96" t="s">
        <v>46</v>
      </c>
      <c r="Q18" s="97"/>
    </row>
    <row r="19" spans="8:18" x14ac:dyDescent="0.25">
      <c r="H19" s="9" t="s">
        <v>34</v>
      </c>
      <c r="I19" s="98" t="s">
        <v>40</v>
      </c>
      <c r="J19" s="97"/>
      <c r="K19" s="99"/>
      <c r="L19" s="103">
        <v>32</v>
      </c>
      <c r="M19" s="103"/>
      <c r="N19" s="104">
        <v>350000</v>
      </c>
      <c r="O19" s="104"/>
      <c r="P19" s="10">
        <f t="shared" ref="P19:P24" si="1">L19*N19</f>
        <v>11200000</v>
      </c>
      <c r="Q19" s="9"/>
    </row>
    <row r="20" spans="8:18" x14ac:dyDescent="0.25">
      <c r="H20" s="9" t="s">
        <v>35</v>
      </c>
      <c r="I20" s="100" t="s">
        <v>41</v>
      </c>
      <c r="J20" s="101"/>
      <c r="K20" s="102"/>
      <c r="L20" s="103">
        <v>23</v>
      </c>
      <c r="M20" s="103"/>
      <c r="N20" s="104">
        <v>225000</v>
      </c>
      <c r="O20" s="104"/>
      <c r="P20" s="10">
        <f t="shared" si="1"/>
        <v>5175000</v>
      </c>
      <c r="Q20" s="9"/>
    </row>
    <row r="21" spans="8:18" x14ac:dyDescent="0.25">
      <c r="H21" s="9" t="s">
        <v>36</v>
      </c>
      <c r="I21" s="97" t="s">
        <v>42</v>
      </c>
      <c r="J21" s="97"/>
      <c r="K21" s="97"/>
      <c r="L21" s="103">
        <v>16</v>
      </c>
      <c r="M21" s="103"/>
      <c r="N21" s="104">
        <v>300000</v>
      </c>
      <c r="O21" s="104"/>
      <c r="P21" s="10">
        <f t="shared" si="1"/>
        <v>4800000</v>
      </c>
      <c r="Q21" s="9"/>
    </row>
    <row r="22" spans="8:18" x14ac:dyDescent="0.25">
      <c r="H22" s="9" t="s">
        <v>37</v>
      </c>
      <c r="I22" s="97" t="s">
        <v>43</v>
      </c>
      <c r="J22" s="97"/>
      <c r="K22" s="97"/>
      <c r="L22" s="103">
        <v>17</v>
      </c>
      <c r="M22" s="103"/>
      <c r="N22" s="104">
        <v>400000</v>
      </c>
      <c r="O22" s="104"/>
      <c r="P22" s="10">
        <f t="shared" si="1"/>
        <v>6800000</v>
      </c>
      <c r="Q22" s="9"/>
    </row>
    <row r="23" spans="8:18" x14ac:dyDescent="0.25">
      <c r="H23" s="9" t="s">
        <v>38</v>
      </c>
      <c r="I23" s="97" t="s">
        <v>44</v>
      </c>
      <c r="J23" s="97"/>
      <c r="K23" s="97"/>
      <c r="L23" s="103">
        <v>8</v>
      </c>
      <c r="M23" s="103"/>
      <c r="N23" s="104">
        <v>315000</v>
      </c>
      <c r="O23" s="104"/>
      <c r="P23" s="10">
        <f t="shared" si="1"/>
        <v>2520000</v>
      </c>
      <c r="Q23" s="9"/>
      <c r="R23" s="13"/>
    </row>
    <row r="24" spans="8:18" x14ac:dyDescent="0.25">
      <c r="H24" s="9" t="s">
        <v>39</v>
      </c>
      <c r="I24" s="97" t="s">
        <v>45</v>
      </c>
      <c r="J24" s="97"/>
      <c r="K24" s="97"/>
      <c r="L24" s="103">
        <v>45</v>
      </c>
      <c r="M24" s="103"/>
      <c r="N24" s="104">
        <v>275000</v>
      </c>
      <c r="O24" s="104"/>
      <c r="P24" s="10">
        <f t="shared" si="1"/>
        <v>12375000</v>
      </c>
      <c r="Q24" s="9"/>
      <c r="R24" s="14"/>
    </row>
    <row r="25" spans="8:18" x14ac:dyDescent="0.25">
      <c r="H25" s="11"/>
      <c r="I25" s="11"/>
      <c r="J25" s="11"/>
      <c r="K25" s="11"/>
      <c r="L25" s="11"/>
      <c r="M25" s="11"/>
      <c r="N25" s="92" t="s">
        <v>47</v>
      </c>
      <c r="O25" s="92"/>
      <c r="P25" s="12">
        <f>SUM(P19:P24)</f>
        <v>42870000</v>
      </c>
      <c r="Q25" s="11"/>
      <c r="R25" s="15"/>
    </row>
  </sheetData>
  <mergeCells count="48">
    <mergeCell ref="N25:O25"/>
    <mergeCell ref="I23:K23"/>
    <mergeCell ref="L23:M23"/>
    <mergeCell ref="N23:O23"/>
    <mergeCell ref="I24:K24"/>
    <mergeCell ref="L24:M24"/>
    <mergeCell ref="N24:O24"/>
    <mergeCell ref="I21:K21"/>
    <mergeCell ref="L21:M21"/>
    <mergeCell ref="N21:O21"/>
    <mergeCell ref="I22:K22"/>
    <mergeCell ref="L22:M22"/>
    <mergeCell ref="N22:O22"/>
    <mergeCell ref="I19:K19"/>
    <mergeCell ref="L19:M19"/>
    <mergeCell ref="N19:O19"/>
    <mergeCell ref="I20:K20"/>
    <mergeCell ref="L20:M20"/>
    <mergeCell ref="N20:O20"/>
    <mergeCell ref="H17:K17"/>
    <mergeCell ref="I18:K18"/>
    <mergeCell ref="L18:M18"/>
    <mergeCell ref="N18:O18"/>
    <mergeCell ref="P18:Q18"/>
    <mergeCell ref="G9:H9"/>
    <mergeCell ref="E8:F8"/>
    <mergeCell ref="G2:H2"/>
    <mergeCell ref="G3:H3"/>
    <mergeCell ref="G4:H4"/>
    <mergeCell ref="G5:H5"/>
    <mergeCell ref="G6:H6"/>
    <mergeCell ref="G7:H7"/>
    <mergeCell ref="G8:H8"/>
    <mergeCell ref="E3:F3"/>
    <mergeCell ref="E4:F4"/>
    <mergeCell ref="E5:F5"/>
    <mergeCell ref="E6:F6"/>
    <mergeCell ref="E7:F7"/>
    <mergeCell ref="B5:D5"/>
    <mergeCell ref="B6:D6"/>
    <mergeCell ref="B7:D7"/>
    <mergeCell ref="B8:D8"/>
    <mergeCell ref="I2:J2"/>
    <mergeCell ref="A1:D1"/>
    <mergeCell ref="B2:D2"/>
    <mergeCell ref="E2:F2"/>
    <mergeCell ref="B3:D3"/>
    <mergeCell ref="B4:D4"/>
  </mergeCells>
  <pageMargins left="0.7" right="0.7" top="0.75" bottom="0.75" header="0.3" footer="0.3"/>
  <pageSetup paperSize="0" orientation="portrait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3" width="17.7109375" customWidth="1"/>
    <col min="4" max="4" width="14.7109375" customWidth="1"/>
    <col min="5" max="5" width="16.85546875" customWidth="1"/>
    <col min="6" max="6" width="17.42578125" customWidth="1"/>
    <col min="7" max="9" width="18" customWidth="1"/>
  </cols>
  <sheetData>
    <row r="1" spans="1:8" x14ac:dyDescent="0.25">
      <c r="A1" s="90" t="s">
        <v>0</v>
      </c>
      <c r="B1" s="90" t="s">
        <v>409</v>
      </c>
      <c r="C1" s="90" t="s">
        <v>410</v>
      </c>
      <c r="D1" s="90" t="s">
        <v>411</v>
      </c>
      <c r="E1" s="90" t="s">
        <v>412</v>
      </c>
      <c r="F1" s="90" t="s">
        <v>413</v>
      </c>
      <c r="G1" s="90" t="s">
        <v>414</v>
      </c>
      <c r="H1" s="90" t="s">
        <v>415</v>
      </c>
    </row>
    <row r="2" spans="1:8" x14ac:dyDescent="0.25">
      <c r="A2" s="89">
        <v>1</v>
      </c>
      <c r="B2" s="89" t="s">
        <v>416</v>
      </c>
    </row>
    <row r="3" spans="1:8" x14ac:dyDescent="0.25">
      <c r="A3" s="89">
        <v>2</v>
      </c>
      <c r="B3" s="89" t="s">
        <v>417</v>
      </c>
    </row>
    <row r="4" spans="1:8" x14ac:dyDescent="0.25">
      <c r="A4" s="89">
        <v>3</v>
      </c>
      <c r="B4" s="89" t="s">
        <v>418</v>
      </c>
    </row>
    <row r="5" spans="1:8" x14ac:dyDescent="0.25">
      <c r="A5" s="89">
        <v>4</v>
      </c>
      <c r="B5" s="89" t="s">
        <v>419</v>
      </c>
    </row>
    <row r="6" spans="1:8" x14ac:dyDescent="0.25">
      <c r="A6" s="89">
        <v>5</v>
      </c>
      <c r="B6" s="89" t="s">
        <v>420</v>
      </c>
    </row>
    <row r="7" spans="1:8" x14ac:dyDescent="0.25">
      <c r="A7" s="89">
        <v>6</v>
      </c>
      <c r="B7" s="89" t="s">
        <v>421</v>
      </c>
    </row>
    <row r="8" spans="1:8" x14ac:dyDescent="0.25">
      <c r="A8" s="89">
        <v>7</v>
      </c>
      <c r="B8" s="89" t="s">
        <v>422</v>
      </c>
    </row>
    <row r="9" spans="1:8" x14ac:dyDescent="0.25">
      <c r="A9" s="89">
        <v>8</v>
      </c>
      <c r="B9" s="89" t="s">
        <v>423</v>
      </c>
    </row>
    <row r="10" spans="1:8" x14ac:dyDescent="0.25">
      <c r="A10" s="89">
        <v>9</v>
      </c>
      <c r="B10" s="89" t="s">
        <v>424</v>
      </c>
    </row>
    <row r="11" spans="1:8" x14ac:dyDescent="0.25">
      <c r="A11" s="89">
        <v>10</v>
      </c>
      <c r="B11" s="89" t="s">
        <v>425</v>
      </c>
    </row>
    <row r="12" spans="1:8" x14ac:dyDescent="0.25">
      <c r="A12" s="89">
        <v>11</v>
      </c>
      <c r="B12" s="89" t="s">
        <v>426</v>
      </c>
    </row>
    <row r="13" spans="1:8" x14ac:dyDescent="0.25">
      <c r="A13" s="89">
        <v>12</v>
      </c>
      <c r="B13" s="89" t="s">
        <v>427</v>
      </c>
    </row>
    <row r="14" spans="1:8" x14ac:dyDescent="0.25">
      <c r="A14" s="89">
        <v>13</v>
      </c>
      <c r="B14" s="89" t="s">
        <v>428</v>
      </c>
    </row>
    <row r="15" spans="1:8" x14ac:dyDescent="0.25">
      <c r="A15" s="89">
        <v>14</v>
      </c>
      <c r="B15" s="89" t="s">
        <v>429</v>
      </c>
    </row>
    <row r="18" spans="2:9" x14ac:dyDescent="0.25">
      <c r="B18" t="s">
        <v>409</v>
      </c>
      <c r="E18" t="s">
        <v>409</v>
      </c>
      <c r="F18" t="s">
        <v>459</v>
      </c>
      <c r="H18" t="s">
        <v>409</v>
      </c>
      <c r="I18" t="s">
        <v>460</v>
      </c>
    </row>
    <row r="19" spans="2:9" x14ac:dyDescent="0.25">
      <c r="B19" t="s">
        <v>430</v>
      </c>
      <c r="C19" t="s">
        <v>440</v>
      </c>
      <c r="E19" t="s">
        <v>408</v>
      </c>
      <c r="F19">
        <v>67800</v>
      </c>
      <c r="H19">
        <v>1</v>
      </c>
      <c r="I19" t="s">
        <v>461</v>
      </c>
    </row>
    <row r="20" spans="2:9" x14ac:dyDescent="0.25">
      <c r="B20" t="s">
        <v>431</v>
      </c>
      <c r="C20" t="s">
        <v>441</v>
      </c>
      <c r="E20" t="s">
        <v>450</v>
      </c>
      <c r="F20">
        <v>60200</v>
      </c>
      <c r="H20">
        <v>2</v>
      </c>
      <c r="I20" t="s">
        <v>462</v>
      </c>
    </row>
    <row r="21" spans="2:9" x14ac:dyDescent="0.25">
      <c r="B21" t="s">
        <v>439</v>
      </c>
      <c r="C21" t="s">
        <v>442</v>
      </c>
      <c r="E21" t="s">
        <v>451</v>
      </c>
      <c r="F21">
        <v>58600</v>
      </c>
      <c r="H21">
        <v>3</v>
      </c>
      <c r="I21" t="s">
        <v>463</v>
      </c>
    </row>
    <row r="22" spans="2:9" x14ac:dyDescent="0.25">
      <c r="B22" t="s">
        <v>433</v>
      </c>
      <c r="C22" t="s">
        <v>443</v>
      </c>
      <c r="E22" t="s">
        <v>452</v>
      </c>
      <c r="F22">
        <v>53000</v>
      </c>
      <c r="H22">
        <v>4</v>
      </c>
      <c r="I22" t="s">
        <v>464</v>
      </c>
    </row>
    <row r="23" spans="2:9" x14ac:dyDescent="0.25">
      <c r="B23" t="s">
        <v>434</v>
      </c>
      <c r="C23" t="s">
        <v>444</v>
      </c>
      <c r="E23" t="s">
        <v>453</v>
      </c>
      <c r="F23">
        <v>48400</v>
      </c>
      <c r="H23">
        <v>5</v>
      </c>
      <c r="I23" t="s">
        <v>465</v>
      </c>
    </row>
    <row r="24" spans="2:9" x14ac:dyDescent="0.25">
      <c r="B24" t="s">
        <v>432</v>
      </c>
      <c r="C24" t="s">
        <v>445</v>
      </c>
      <c r="E24" t="s">
        <v>454</v>
      </c>
      <c r="F24">
        <v>43800</v>
      </c>
      <c r="H24">
        <v>6</v>
      </c>
      <c r="I24" t="s">
        <v>466</v>
      </c>
    </row>
    <row r="25" spans="2:9" x14ac:dyDescent="0.25">
      <c r="B25" t="s">
        <v>435</v>
      </c>
      <c r="C25" t="s">
        <v>446</v>
      </c>
      <c r="E25" t="s">
        <v>455</v>
      </c>
      <c r="F25">
        <v>39200</v>
      </c>
      <c r="H25">
        <v>7</v>
      </c>
      <c r="I25" t="s">
        <v>467</v>
      </c>
    </row>
    <row r="26" spans="2:9" x14ac:dyDescent="0.25">
      <c r="B26" t="s">
        <v>436</v>
      </c>
      <c r="C26" t="s">
        <v>447</v>
      </c>
      <c r="E26" t="s">
        <v>456</v>
      </c>
      <c r="F26">
        <v>34600</v>
      </c>
      <c r="H26">
        <v>8</v>
      </c>
      <c r="I26" t="s">
        <v>468</v>
      </c>
    </row>
    <row r="27" spans="2:9" x14ac:dyDescent="0.25">
      <c r="B27" t="s">
        <v>437</v>
      </c>
      <c r="C27" t="s">
        <v>448</v>
      </c>
      <c r="E27" t="s">
        <v>457</v>
      </c>
      <c r="F27">
        <v>30000</v>
      </c>
      <c r="H27">
        <v>9</v>
      </c>
      <c r="I27" t="s">
        <v>469</v>
      </c>
    </row>
    <row r="28" spans="2:9" x14ac:dyDescent="0.25">
      <c r="B28" t="s">
        <v>438</v>
      </c>
      <c r="C28" t="s">
        <v>449</v>
      </c>
      <c r="E28" t="s">
        <v>458</v>
      </c>
      <c r="F28">
        <v>25400</v>
      </c>
      <c r="H28">
        <v>10</v>
      </c>
      <c r="I28" t="s">
        <v>470</v>
      </c>
    </row>
    <row r="29" spans="2:9" x14ac:dyDescent="0.25">
      <c r="H29">
        <v>11</v>
      </c>
      <c r="I29" t="s">
        <v>471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1"/>
  <sheetViews>
    <sheetView workbookViewId="0">
      <selection activeCell="D4" sqref="D4:D8"/>
    </sheetView>
  </sheetViews>
  <sheetFormatPr defaultRowHeight="15" x14ac:dyDescent="0.25"/>
  <cols>
    <col min="3" max="3" width="17.140625" customWidth="1"/>
    <col min="4" max="4" width="21.42578125" customWidth="1"/>
    <col min="5" max="5" width="17.42578125" customWidth="1"/>
    <col min="6" max="6" width="19" customWidth="1"/>
    <col min="7" max="7" width="18.5703125" customWidth="1"/>
    <col min="8" max="8" width="15.5703125" customWidth="1"/>
    <col min="9" max="9" width="14.140625" customWidth="1"/>
    <col min="10" max="10" width="16.7109375" customWidth="1"/>
  </cols>
  <sheetData>
    <row r="3" spans="2:9" x14ac:dyDescent="0.25">
      <c r="B3" t="s">
        <v>121</v>
      </c>
      <c r="C3" t="s">
        <v>225</v>
      </c>
      <c r="D3" t="s">
        <v>472</v>
      </c>
      <c r="E3" t="s">
        <v>473</v>
      </c>
      <c r="F3" t="s">
        <v>474</v>
      </c>
      <c r="G3" t="s">
        <v>475</v>
      </c>
      <c r="H3" t="s">
        <v>476</v>
      </c>
      <c r="I3" t="s">
        <v>477</v>
      </c>
    </row>
    <row r="4" spans="2:9" x14ac:dyDescent="0.25">
      <c r="B4">
        <v>1</v>
      </c>
      <c r="C4" t="s">
        <v>478</v>
      </c>
      <c r="D4" t="s">
        <v>479</v>
      </c>
      <c r="E4">
        <v>1987</v>
      </c>
      <c r="F4" t="s">
        <v>480</v>
      </c>
      <c r="G4" t="s">
        <v>481</v>
      </c>
      <c r="H4" s="163">
        <v>6020</v>
      </c>
      <c r="I4" t="s">
        <v>482</v>
      </c>
    </row>
    <row r="5" spans="2:9" x14ac:dyDescent="0.25">
      <c r="B5">
        <v>2</v>
      </c>
      <c r="C5" t="s">
        <v>483</v>
      </c>
      <c r="D5" t="s">
        <v>484</v>
      </c>
      <c r="E5">
        <v>1980</v>
      </c>
      <c r="F5" t="s">
        <v>485</v>
      </c>
      <c r="G5" t="s">
        <v>486</v>
      </c>
      <c r="H5" s="163">
        <v>0</v>
      </c>
      <c r="I5" t="s">
        <v>486</v>
      </c>
    </row>
    <row r="6" spans="2:9" x14ac:dyDescent="0.25">
      <c r="B6">
        <v>3</v>
      </c>
      <c r="C6" t="s">
        <v>487</v>
      </c>
      <c r="D6" t="s">
        <v>488</v>
      </c>
      <c r="E6">
        <v>2004</v>
      </c>
      <c r="F6" t="s">
        <v>489</v>
      </c>
      <c r="G6" t="s">
        <v>490</v>
      </c>
      <c r="H6" s="163">
        <v>0</v>
      </c>
      <c r="I6" t="s">
        <v>490</v>
      </c>
    </row>
    <row r="7" spans="2:9" x14ac:dyDescent="0.25">
      <c r="B7">
        <v>4</v>
      </c>
      <c r="C7" t="s">
        <v>491</v>
      </c>
      <c r="D7" t="s">
        <v>479</v>
      </c>
      <c r="E7">
        <v>2005</v>
      </c>
      <c r="F7" t="s">
        <v>480</v>
      </c>
      <c r="G7" t="s">
        <v>481</v>
      </c>
      <c r="H7" s="163">
        <v>6020</v>
      </c>
      <c r="I7" t="s">
        <v>482</v>
      </c>
    </row>
    <row r="8" spans="2:9" x14ac:dyDescent="0.25">
      <c r="B8">
        <v>5</v>
      </c>
      <c r="C8" t="s">
        <v>492</v>
      </c>
      <c r="D8" t="s">
        <v>493</v>
      </c>
      <c r="E8">
        <v>1997</v>
      </c>
      <c r="F8" t="s">
        <v>494</v>
      </c>
      <c r="G8" t="s">
        <v>495</v>
      </c>
      <c r="H8" s="163">
        <v>0</v>
      </c>
      <c r="I8" t="s">
        <v>495</v>
      </c>
    </row>
    <row r="9" spans="2:9" x14ac:dyDescent="0.25">
      <c r="B9">
        <v>6</v>
      </c>
      <c r="C9" t="s">
        <v>496</v>
      </c>
      <c r="D9" t="s">
        <v>484</v>
      </c>
      <c r="E9">
        <v>2002</v>
      </c>
      <c r="F9" t="s">
        <v>485</v>
      </c>
      <c r="G9" t="s">
        <v>486</v>
      </c>
      <c r="H9" s="163">
        <v>0</v>
      </c>
      <c r="I9" t="s">
        <v>486</v>
      </c>
    </row>
    <row r="10" spans="2:9" x14ac:dyDescent="0.25">
      <c r="B10">
        <v>7</v>
      </c>
      <c r="C10" t="s">
        <v>497</v>
      </c>
      <c r="D10" t="s">
        <v>498</v>
      </c>
      <c r="E10">
        <v>1989</v>
      </c>
      <c r="F10" t="s">
        <v>499</v>
      </c>
      <c r="G10" t="s">
        <v>500</v>
      </c>
      <c r="H10" s="163">
        <v>0</v>
      </c>
      <c r="I10" t="s">
        <v>500</v>
      </c>
    </row>
    <row r="11" spans="2:9" x14ac:dyDescent="0.25">
      <c r="B11">
        <v>8</v>
      </c>
      <c r="C11" t="s">
        <v>501</v>
      </c>
      <c r="D11" t="s">
        <v>479</v>
      </c>
      <c r="E11">
        <v>1988</v>
      </c>
      <c r="F11" t="s">
        <v>480</v>
      </c>
      <c r="G11" t="s">
        <v>481</v>
      </c>
      <c r="H11" s="163">
        <v>6020</v>
      </c>
      <c r="I11" t="s">
        <v>482</v>
      </c>
    </row>
    <row r="12" spans="2:9" x14ac:dyDescent="0.25">
      <c r="B12">
        <v>9</v>
      </c>
      <c r="C12" t="s">
        <v>502</v>
      </c>
      <c r="D12" t="s">
        <v>503</v>
      </c>
      <c r="E12">
        <v>2005</v>
      </c>
      <c r="F12" t="s">
        <v>504</v>
      </c>
      <c r="G12" t="s">
        <v>505</v>
      </c>
      <c r="H12" s="163">
        <v>6570</v>
      </c>
      <c r="I12" t="s">
        <v>506</v>
      </c>
    </row>
    <row r="13" spans="2:9" x14ac:dyDescent="0.25">
      <c r="B13">
        <v>10</v>
      </c>
      <c r="C13" t="s">
        <v>507</v>
      </c>
      <c r="D13" t="s">
        <v>479</v>
      </c>
      <c r="E13">
        <v>1992</v>
      </c>
      <c r="F13" t="s">
        <v>480</v>
      </c>
      <c r="G13" t="s">
        <v>508</v>
      </c>
      <c r="H13" s="163">
        <v>2540</v>
      </c>
      <c r="I13" t="s">
        <v>509</v>
      </c>
    </row>
    <row r="14" spans="2:9" x14ac:dyDescent="0.25">
      <c r="B14">
        <v>11</v>
      </c>
      <c r="C14" t="s">
        <v>510</v>
      </c>
      <c r="D14" t="s">
        <v>511</v>
      </c>
      <c r="E14">
        <v>1986</v>
      </c>
      <c r="F14" t="s">
        <v>512</v>
      </c>
      <c r="G14" t="s">
        <v>481</v>
      </c>
      <c r="H14" s="163">
        <v>0</v>
      </c>
      <c r="I14" t="s">
        <v>481</v>
      </c>
    </row>
    <row r="15" spans="2:9" x14ac:dyDescent="0.25">
      <c r="B15">
        <v>12</v>
      </c>
      <c r="C15" t="s">
        <v>513</v>
      </c>
      <c r="D15" t="s">
        <v>514</v>
      </c>
      <c r="E15">
        <v>1998</v>
      </c>
      <c r="F15" t="s">
        <v>485</v>
      </c>
      <c r="G15" t="s">
        <v>486</v>
      </c>
      <c r="H15" s="163">
        <v>0</v>
      </c>
      <c r="I15" t="s">
        <v>486</v>
      </c>
    </row>
    <row r="16" spans="2:9" x14ac:dyDescent="0.25">
      <c r="B16">
        <v>13</v>
      </c>
      <c r="C16" t="s">
        <v>515</v>
      </c>
      <c r="D16" t="s">
        <v>516</v>
      </c>
      <c r="E16">
        <v>1999</v>
      </c>
      <c r="F16" t="s">
        <v>517</v>
      </c>
      <c r="G16" t="s">
        <v>508</v>
      </c>
      <c r="H16" s="163">
        <v>0</v>
      </c>
      <c r="I16" t="s">
        <v>508</v>
      </c>
    </row>
    <row r="17" spans="2:10" x14ac:dyDescent="0.25">
      <c r="B17">
        <v>14</v>
      </c>
      <c r="C17" t="s">
        <v>518</v>
      </c>
      <c r="D17" t="s">
        <v>484</v>
      </c>
      <c r="E17">
        <v>1994</v>
      </c>
      <c r="F17" t="s">
        <v>485</v>
      </c>
      <c r="G17" t="s">
        <v>519</v>
      </c>
      <c r="H17" s="163">
        <v>0</v>
      </c>
      <c r="I17" t="s">
        <v>519</v>
      </c>
    </row>
    <row r="20" spans="2:10" x14ac:dyDescent="0.25">
      <c r="C20" t="s">
        <v>225</v>
      </c>
      <c r="D20" t="s">
        <v>472</v>
      </c>
      <c r="F20" t="s">
        <v>225</v>
      </c>
      <c r="G20" t="s">
        <v>235</v>
      </c>
      <c r="I20" t="s">
        <v>520</v>
      </c>
      <c r="J20" t="s">
        <v>474</v>
      </c>
    </row>
    <row r="21" spans="2:10" x14ac:dyDescent="0.25">
      <c r="C21" t="s">
        <v>521</v>
      </c>
      <c r="D21" t="s">
        <v>479</v>
      </c>
      <c r="F21" t="s">
        <v>522</v>
      </c>
      <c r="G21" t="s">
        <v>523</v>
      </c>
      <c r="I21">
        <v>1</v>
      </c>
      <c r="J21" t="s">
        <v>480</v>
      </c>
    </row>
    <row r="22" spans="2:10" x14ac:dyDescent="0.25">
      <c r="C22" t="s">
        <v>524</v>
      </c>
      <c r="D22" t="s">
        <v>516</v>
      </c>
      <c r="F22" t="s">
        <v>525</v>
      </c>
      <c r="G22" t="s">
        <v>481</v>
      </c>
      <c r="I22">
        <v>2</v>
      </c>
      <c r="J22" t="s">
        <v>517</v>
      </c>
    </row>
    <row r="23" spans="2:10" x14ac:dyDescent="0.25">
      <c r="C23" t="s">
        <v>526</v>
      </c>
      <c r="D23" t="s">
        <v>488</v>
      </c>
      <c r="F23" t="s">
        <v>527</v>
      </c>
      <c r="G23" t="s">
        <v>486</v>
      </c>
      <c r="I23">
        <v>3</v>
      </c>
      <c r="J23" t="s">
        <v>489</v>
      </c>
    </row>
    <row r="24" spans="2:10" x14ac:dyDescent="0.25">
      <c r="C24" t="s">
        <v>528</v>
      </c>
      <c r="D24" t="s">
        <v>493</v>
      </c>
      <c r="F24" t="s">
        <v>529</v>
      </c>
      <c r="G24" t="s">
        <v>490</v>
      </c>
      <c r="I24">
        <v>4</v>
      </c>
      <c r="J24" t="s">
        <v>504</v>
      </c>
    </row>
    <row r="25" spans="2:10" x14ac:dyDescent="0.25">
      <c r="C25" t="s">
        <v>530</v>
      </c>
      <c r="D25" t="s">
        <v>484</v>
      </c>
      <c r="F25" t="s">
        <v>531</v>
      </c>
      <c r="G25" t="s">
        <v>532</v>
      </c>
      <c r="I25">
        <v>5</v>
      </c>
      <c r="J25" t="s">
        <v>485</v>
      </c>
    </row>
    <row r="26" spans="2:10" x14ac:dyDescent="0.25">
      <c r="C26" t="s">
        <v>533</v>
      </c>
      <c r="D26" t="s">
        <v>503</v>
      </c>
      <c r="F26" t="s">
        <v>534</v>
      </c>
      <c r="G26" t="s">
        <v>505</v>
      </c>
      <c r="I26">
        <v>6</v>
      </c>
      <c r="J26" t="s">
        <v>512</v>
      </c>
    </row>
    <row r="27" spans="2:10" x14ac:dyDescent="0.25">
      <c r="C27" t="s">
        <v>535</v>
      </c>
      <c r="D27" t="s">
        <v>498</v>
      </c>
      <c r="F27" t="s">
        <v>536</v>
      </c>
      <c r="G27" t="s">
        <v>495</v>
      </c>
      <c r="I27">
        <v>7</v>
      </c>
      <c r="J27" t="s">
        <v>537</v>
      </c>
    </row>
    <row r="28" spans="2:10" x14ac:dyDescent="0.25">
      <c r="C28" t="s">
        <v>538</v>
      </c>
      <c r="D28" t="s">
        <v>539</v>
      </c>
      <c r="F28" t="s">
        <v>540</v>
      </c>
      <c r="G28" t="s">
        <v>500</v>
      </c>
      <c r="I28">
        <v>8</v>
      </c>
      <c r="J28" t="s">
        <v>499</v>
      </c>
    </row>
    <row r="29" spans="2:10" x14ac:dyDescent="0.25">
      <c r="C29" t="s">
        <v>541</v>
      </c>
      <c r="D29" t="s">
        <v>514</v>
      </c>
      <c r="F29" t="s">
        <v>542</v>
      </c>
      <c r="G29" t="s">
        <v>519</v>
      </c>
      <c r="I29">
        <v>9</v>
      </c>
      <c r="J29" t="s">
        <v>494</v>
      </c>
    </row>
    <row r="30" spans="2:10" x14ac:dyDescent="0.25">
      <c r="C30" t="s">
        <v>543</v>
      </c>
      <c r="D30" t="s">
        <v>511</v>
      </c>
      <c r="F30" t="s">
        <v>544</v>
      </c>
      <c r="G30" t="s">
        <v>508</v>
      </c>
      <c r="I30">
        <v>10</v>
      </c>
      <c r="J30" t="s">
        <v>545</v>
      </c>
    </row>
    <row r="31" spans="2:10" x14ac:dyDescent="0.25">
      <c r="I31">
        <v>11</v>
      </c>
      <c r="J31" t="s">
        <v>546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N17"/>
  <sheetViews>
    <sheetView workbookViewId="0">
      <selection activeCell="I22" sqref="I22"/>
    </sheetView>
  </sheetViews>
  <sheetFormatPr defaultRowHeight="15" x14ac:dyDescent="0.25"/>
  <cols>
    <col min="9" max="9" width="32" customWidth="1"/>
    <col min="11" max="11" width="20.42578125" customWidth="1"/>
    <col min="13" max="13" width="23.42578125" customWidth="1"/>
  </cols>
  <sheetData>
    <row r="3" spans="5:14" x14ac:dyDescent="0.25">
      <c r="I3" s="6" t="s">
        <v>48</v>
      </c>
    </row>
    <row r="4" spans="5:14" x14ac:dyDescent="0.25">
      <c r="I4" s="7" t="s">
        <v>49</v>
      </c>
    </row>
    <row r="5" spans="5:14" x14ac:dyDescent="0.25">
      <c r="I5" t="s">
        <v>50</v>
      </c>
    </row>
    <row r="9" spans="5:14" x14ac:dyDescent="0.25">
      <c r="E9" s="105" t="s">
        <v>31</v>
      </c>
      <c r="F9" s="105"/>
      <c r="G9" s="105"/>
      <c r="H9" s="105"/>
      <c r="I9" s="31">
        <f>TODAY()</f>
        <v>45334</v>
      </c>
    </row>
    <row r="10" spans="5:14" ht="30" x14ac:dyDescent="0.25">
      <c r="E10" s="30" t="s">
        <v>32</v>
      </c>
      <c r="F10" s="106" t="s">
        <v>1</v>
      </c>
      <c r="G10" s="107"/>
      <c r="H10" s="107"/>
      <c r="I10" s="106" t="s">
        <v>33</v>
      </c>
      <c r="J10" s="107"/>
      <c r="K10" s="106" t="s">
        <v>4</v>
      </c>
      <c r="L10" s="106"/>
      <c r="M10" s="106" t="s">
        <v>46</v>
      </c>
      <c r="N10" s="107"/>
    </row>
    <row r="11" spans="5:14" x14ac:dyDescent="0.25">
      <c r="E11" s="2" t="s">
        <v>34</v>
      </c>
      <c r="F11" s="108" t="s">
        <v>40</v>
      </c>
      <c r="G11" s="108"/>
      <c r="H11" s="108"/>
      <c r="I11" s="109">
        <v>32</v>
      </c>
      <c r="J11" s="109"/>
      <c r="K11" s="110">
        <v>350000</v>
      </c>
      <c r="L11" s="110"/>
      <c r="M11" s="16">
        <f t="shared" ref="M11:M16" si="0">I11*K11</f>
        <v>11200000</v>
      </c>
      <c r="N11" s="2"/>
    </row>
    <row r="12" spans="5:14" x14ac:dyDescent="0.25">
      <c r="E12" s="2" t="s">
        <v>35</v>
      </c>
      <c r="F12" s="111" t="s">
        <v>41</v>
      </c>
      <c r="G12" s="111"/>
      <c r="H12" s="111"/>
      <c r="I12" s="109">
        <v>23</v>
      </c>
      <c r="J12" s="109"/>
      <c r="K12" s="110">
        <v>225000</v>
      </c>
      <c r="L12" s="110"/>
      <c r="M12" s="16">
        <f t="shared" si="0"/>
        <v>5175000</v>
      </c>
      <c r="N12" s="2"/>
    </row>
    <row r="13" spans="5:14" x14ac:dyDescent="0.25">
      <c r="E13" s="2" t="s">
        <v>36</v>
      </c>
      <c r="F13" s="108" t="s">
        <v>42</v>
      </c>
      <c r="G13" s="108"/>
      <c r="H13" s="108"/>
      <c r="I13" s="109">
        <v>16</v>
      </c>
      <c r="J13" s="109"/>
      <c r="K13" s="110">
        <v>300000</v>
      </c>
      <c r="L13" s="110"/>
      <c r="M13" s="16">
        <f t="shared" si="0"/>
        <v>4800000</v>
      </c>
      <c r="N13" s="2"/>
    </row>
    <row r="14" spans="5:14" x14ac:dyDescent="0.25">
      <c r="E14" s="2" t="s">
        <v>37</v>
      </c>
      <c r="F14" s="108" t="s">
        <v>43</v>
      </c>
      <c r="G14" s="108"/>
      <c r="H14" s="108"/>
      <c r="I14" s="109">
        <v>17</v>
      </c>
      <c r="J14" s="109"/>
      <c r="K14" s="110">
        <v>400000</v>
      </c>
      <c r="L14" s="110"/>
      <c r="M14" s="16">
        <f t="shared" si="0"/>
        <v>6800000</v>
      </c>
      <c r="N14" s="2"/>
    </row>
    <row r="15" spans="5:14" x14ac:dyDescent="0.25">
      <c r="E15" s="2" t="s">
        <v>38</v>
      </c>
      <c r="F15" s="108" t="s">
        <v>44</v>
      </c>
      <c r="G15" s="108"/>
      <c r="H15" s="108"/>
      <c r="I15" s="109">
        <v>8</v>
      </c>
      <c r="J15" s="109"/>
      <c r="K15" s="110">
        <v>315000</v>
      </c>
      <c r="L15" s="110"/>
      <c r="M15" s="16">
        <f t="shared" si="0"/>
        <v>2520000</v>
      </c>
      <c r="N15" s="2"/>
    </row>
    <row r="16" spans="5:14" x14ac:dyDescent="0.25">
      <c r="E16" s="2" t="s">
        <v>39</v>
      </c>
      <c r="F16" s="108" t="s">
        <v>45</v>
      </c>
      <c r="G16" s="108"/>
      <c r="H16" s="108"/>
      <c r="I16" s="109">
        <v>45</v>
      </c>
      <c r="J16" s="109"/>
      <c r="K16" s="110">
        <v>275000</v>
      </c>
      <c r="L16" s="110"/>
      <c r="M16" s="16">
        <f t="shared" si="0"/>
        <v>12375000</v>
      </c>
      <c r="N16" s="2"/>
    </row>
    <row r="17" spans="5:14" x14ac:dyDescent="0.25">
      <c r="E17" s="9"/>
      <c r="F17" s="9"/>
      <c r="G17" s="9"/>
      <c r="H17" s="9"/>
      <c r="I17" s="9"/>
      <c r="J17" s="9"/>
      <c r="K17" s="112" t="s">
        <v>47</v>
      </c>
      <c r="L17" s="113"/>
      <c r="M17" s="16">
        <f>SUM(M11:M16)</f>
        <v>42870000</v>
      </c>
      <c r="N17" s="2"/>
    </row>
  </sheetData>
  <mergeCells count="24">
    <mergeCell ref="K17:L17"/>
    <mergeCell ref="F14:H14"/>
    <mergeCell ref="I14:J14"/>
    <mergeCell ref="K14:L14"/>
    <mergeCell ref="F15:H15"/>
    <mergeCell ref="I15:J15"/>
    <mergeCell ref="K15:L15"/>
    <mergeCell ref="F11:H11"/>
    <mergeCell ref="I11:J11"/>
    <mergeCell ref="K11:L11"/>
    <mergeCell ref="F16:H16"/>
    <mergeCell ref="I16:J16"/>
    <mergeCell ref="K16:L16"/>
    <mergeCell ref="F12:H12"/>
    <mergeCell ref="I12:J12"/>
    <mergeCell ref="K12:L12"/>
    <mergeCell ref="F13:H13"/>
    <mergeCell ref="I13:J13"/>
    <mergeCell ref="K13:L13"/>
    <mergeCell ref="E9:H9"/>
    <mergeCell ref="F10:H10"/>
    <mergeCell ref="I10:J10"/>
    <mergeCell ref="K10:L10"/>
    <mergeCell ref="M10:N10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N25"/>
  <sheetViews>
    <sheetView topLeftCell="A5" workbookViewId="0">
      <selection activeCell="B9" sqref="B9"/>
    </sheetView>
  </sheetViews>
  <sheetFormatPr defaultRowHeight="15" x14ac:dyDescent="0.25"/>
  <cols>
    <col min="4" max="4" width="5.5703125" customWidth="1"/>
    <col min="5" max="5" width="25.7109375" customWidth="1"/>
    <col min="6" max="6" width="9.42578125" customWidth="1"/>
    <col min="11" max="11" width="10.42578125" customWidth="1"/>
    <col min="12" max="12" width="11" customWidth="1"/>
    <col min="13" max="13" width="11.7109375" customWidth="1"/>
    <col min="14" max="14" width="12.5703125" customWidth="1"/>
  </cols>
  <sheetData>
    <row r="7" spans="5:14" x14ac:dyDescent="0.25">
      <c r="H7" s="114" t="s">
        <v>51</v>
      </c>
      <c r="I7" s="114"/>
      <c r="J7" s="114"/>
      <c r="K7" s="114"/>
      <c r="L7" s="114"/>
    </row>
    <row r="8" spans="5:14" x14ac:dyDescent="0.25">
      <c r="H8" s="114"/>
      <c r="I8" s="114"/>
      <c r="J8" s="114"/>
      <c r="K8" s="114"/>
      <c r="L8" s="114"/>
    </row>
    <row r="10" spans="5:14" x14ac:dyDescent="0.25">
      <c r="E10" s="115" t="s">
        <v>52</v>
      </c>
      <c r="F10" s="115"/>
      <c r="G10" s="20" t="s">
        <v>53</v>
      </c>
      <c r="H10" s="20" t="s">
        <v>54</v>
      </c>
      <c r="I10" s="20" t="s">
        <v>74</v>
      </c>
      <c r="J10" s="20" t="s">
        <v>55</v>
      </c>
      <c r="K10" s="20" t="s">
        <v>75</v>
      </c>
      <c r="L10" s="20" t="s">
        <v>56</v>
      </c>
      <c r="M10" s="20" t="s">
        <v>57</v>
      </c>
      <c r="N10" s="20" t="s">
        <v>58</v>
      </c>
    </row>
    <row r="11" spans="5:14" x14ac:dyDescent="0.25">
      <c r="E11" s="116" t="s">
        <v>59</v>
      </c>
      <c r="F11" s="116"/>
      <c r="G11" s="17">
        <v>55</v>
      </c>
      <c r="H11" s="18">
        <v>44</v>
      </c>
      <c r="I11" s="18">
        <v>88</v>
      </c>
      <c r="J11" s="18">
        <v>55</v>
      </c>
      <c r="K11" s="19">
        <f t="shared" ref="K11:K25" si="0">SUM(G11:J11)</f>
        <v>242</v>
      </c>
      <c r="L11" s="19">
        <f t="shared" ref="L11:L25" si="1">MAX(G11:J11)</f>
        <v>88</v>
      </c>
      <c r="M11" s="19">
        <f t="shared" ref="M11:M25" si="2">MIN(G11:J11)</f>
        <v>44</v>
      </c>
      <c r="N11" s="19">
        <f t="shared" ref="N11:N25" si="3">AVERAGE(G11:J11)</f>
        <v>60.5</v>
      </c>
    </row>
    <row r="12" spans="5:14" x14ac:dyDescent="0.25">
      <c r="E12" s="116" t="s">
        <v>60</v>
      </c>
      <c r="F12" s="116"/>
      <c r="G12" s="17">
        <v>85</v>
      </c>
      <c r="H12" s="18">
        <v>95</v>
      </c>
      <c r="I12" s="18">
        <v>95</v>
      </c>
      <c r="J12" s="18">
        <v>80</v>
      </c>
      <c r="K12" s="19">
        <f t="shared" si="0"/>
        <v>355</v>
      </c>
      <c r="L12" s="19">
        <f t="shared" si="1"/>
        <v>95</v>
      </c>
      <c r="M12" s="19">
        <f t="shared" si="2"/>
        <v>80</v>
      </c>
      <c r="N12" s="19">
        <f t="shared" si="3"/>
        <v>88.75</v>
      </c>
    </row>
    <row r="13" spans="5:14" x14ac:dyDescent="0.25">
      <c r="E13" s="116" t="s">
        <v>61</v>
      </c>
      <c r="F13" s="116"/>
      <c r="G13" s="17">
        <v>77</v>
      </c>
      <c r="H13" s="18">
        <v>56</v>
      </c>
      <c r="I13" s="18">
        <v>65</v>
      </c>
      <c r="J13" s="18">
        <v>45</v>
      </c>
      <c r="K13" s="19">
        <f t="shared" si="0"/>
        <v>243</v>
      </c>
      <c r="L13" s="19">
        <f t="shared" si="1"/>
        <v>77</v>
      </c>
      <c r="M13" s="19">
        <f t="shared" si="2"/>
        <v>45</v>
      </c>
      <c r="N13" s="19">
        <f t="shared" si="3"/>
        <v>60.75</v>
      </c>
    </row>
    <row r="14" spans="5:14" x14ac:dyDescent="0.25">
      <c r="E14" s="116" t="s">
        <v>62</v>
      </c>
      <c r="F14" s="116"/>
      <c r="G14" s="17">
        <v>56</v>
      </c>
      <c r="H14" s="18">
        <v>74</v>
      </c>
      <c r="I14" s="18">
        <v>45</v>
      </c>
      <c r="J14" s="18">
        <v>85</v>
      </c>
      <c r="K14" s="19">
        <f t="shared" si="0"/>
        <v>260</v>
      </c>
      <c r="L14" s="19">
        <f t="shared" si="1"/>
        <v>85</v>
      </c>
      <c r="M14" s="19">
        <f t="shared" si="2"/>
        <v>45</v>
      </c>
      <c r="N14" s="19">
        <f t="shared" si="3"/>
        <v>65</v>
      </c>
    </row>
    <row r="15" spans="5:14" x14ac:dyDescent="0.25">
      <c r="E15" s="117" t="s">
        <v>63</v>
      </c>
      <c r="F15" s="117"/>
      <c r="G15" s="17">
        <v>65</v>
      </c>
      <c r="H15" s="18">
        <v>54</v>
      </c>
      <c r="I15" s="18">
        <v>66</v>
      </c>
      <c r="J15" s="18">
        <v>65</v>
      </c>
      <c r="K15" s="19">
        <f t="shared" si="0"/>
        <v>250</v>
      </c>
      <c r="L15" s="19">
        <f t="shared" si="1"/>
        <v>66</v>
      </c>
      <c r="M15" s="19">
        <f t="shared" si="2"/>
        <v>54</v>
      </c>
      <c r="N15" s="19">
        <f t="shared" si="3"/>
        <v>62.5</v>
      </c>
    </row>
    <row r="16" spans="5:14" x14ac:dyDescent="0.25">
      <c r="E16" s="117" t="s">
        <v>64</v>
      </c>
      <c r="F16" s="117"/>
      <c r="G16" s="17">
        <v>99</v>
      </c>
      <c r="H16" s="18">
        <v>59</v>
      </c>
      <c r="I16" s="18">
        <v>85</v>
      </c>
      <c r="J16" s="18">
        <v>44</v>
      </c>
      <c r="K16" s="19">
        <f t="shared" si="0"/>
        <v>287</v>
      </c>
      <c r="L16" s="19">
        <f t="shared" si="1"/>
        <v>99</v>
      </c>
      <c r="M16" s="19">
        <f t="shared" si="2"/>
        <v>44</v>
      </c>
      <c r="N16" s="19">
        <f t="shared" si="3"/>
        <v>71.75</v>
      </c>
    </row>
    <row r="17" spans="5:14" x14ac:dyDescent="0.25">
      <c r="E17" s="117" t="s">
        <v>65</v>
      </c>
      <c r="F17" s="117"/>
      <c r="G17" s="17">
        <v>58</v>
      </c>
      <c r="H17" s="18">
        <v>88</v>
      </c>
      <c r="I17" s="18">
        <v>99</v>
      </c>
      <c r="J17" s="18">
        <v>60</v>
      </c>
      <c r="K17" s="19">
        <f t="shared" si="0"/>
        <v>305</v>
      </c>
      <c r="L17" s="19">
        <f t="shared" si="1"/>
        <v>99</v>
      </c>
      <c r="M17" s="19">
        <f t="shared" si="2"/>
        <v>58</v>
      </c>
      <c r="N17" s="19">
        <f t="shared" si="3"/>
        <v>76.25</v>
      </c>
    </row>
    <row r="18" spans="5:14" x14ac:dyDescent="0.25">
      <c r="E18" s="116" t="s">
        <v>73</v>
      </c>
      <c r="F18" s="116"/>
      <c r="G18" s="17">
        <v>74</v>
      </c>
      <c r="H18" s="18">
        <v>65</v>
      </c>
      <c r="I18" s="18">
        <v>70</v>
      </c>
      <c r="J18" s="18">
        <v>54</v>
      </c>
      <c r="K18" s="19">
        <f t="shared" si="0"/>
        <v>263</v>
      </c>
      <c r="L18" s="19">
        <f t="shared" si="1"/>
        <v>74</v>
      </c>
      <c r="M18" s="19">
        <f t="shared" si="2"/>
        <v>54</v>
      </c>
      <c r="N18" s="19">
        <f t="shared" si="3"/>
        <v>65.75</v>
      </c>
    </row>
    <row r="19" spans="5:14" x14ac:dyDescent="0.25">
      <c r="E19" s="116" t="s">
        <v>68</v>
      </c>
      <c r="F19" s="116"/>
      <c r="G19" s="17">
        <v>73</v>
      </c>
      <c r="H19" s="18">
        <v>92</v>
      </c>
      <c r="I19" s="18">
        <v>73</v>
      </c>
      <c r="J19" s="18">
        <v>69</v>
      </c>
      <c r="K19" s="19">
        <f t="shared" si="0"/>
        <v>307</v>
      </c>
      <c r="L19" s="19">
        <f t="shared" si="1"/>
        <v>92</v>
      </c>
      <c r="M19" s="19">
        <f t="shared" si="2"/>
        <v>69</v>
      </c>
      <c r="N19" s="19">
        <f t="shared" si="3"/>
        <v>76.75</v>
      </c>
    </row>
    <row r="20" spans="5:14" x14ac:dyDescent="0.25">
      <c r="E20" s="116" t="s">
        <v>69</v>
      </c>
      <c r="F20" s="116"/>
      <c r="G20" s="17">
        <v>65</v>
      </c>
      <c r="H20" s="18">
        <v>44</v>
      </c>
      <c r="I20" s="18">
        <v>59</v>
      </c>
      <c r="J20" s="18">
        <v>75</v>
      </c>
      <c r="K20" s="19">
        <f t="shared" si="0"/>
        <v>243</v>
      </c>
      <c r="L20" s="19">
        <f t="shared" si="1"/>
        <v>75</v>
      </c>
      <c r="M20" s="19">
        <f t="shared" si="2"/>
        <v>44</v>
      </c>
      <c r="N20" s="19">
        <f t="shared" si="3"/>
        <v>60.75</v>
      </c>
    </row>
    <row r="21" spans="5:14" x14ac:dyDescent="0.25">
      <c r="E21" s="117" t="s">
        <v>70</v>
      </c>
      <c r="F21" s="117"/>
      <c r="G21" s="17">
        <v>88</v>
      </c>
      <c r="H21" s="18">
        <v>50</v>
      </c>
      <c r="I21" s="18">
        <v>74</v>
      </c>
      <c r="J21" s="18">
        <v>58</v>
      </c>
      <c r="K21" s="19">
        <f t="shared" si="0"/>
        <v>270</v>
      </c>
      <c r="L21" s="19">
        <f t="shared" si="1"/>
        <v>88</v>
      </c>
      <c r="M21" s="19">
        <f t="shared" si="2"/>
        <v>50</v>
      </c>
      <c r="N21" s="19">
        <f t="shared" si="3"/>
        <v>67.5</v>
      </c>
    </row>
    <row r="22" spans="5:14" x14ac:dyDescent="0.25">
      <c r="E22" s="117" t="s">
        <v>66</v>
      </c>
      <c r="F22" s="117"/>
      <c r="G22" s="17">
        <v>56</v>
      </c>
      <c r="H22" s="18">
        <v>67</v>
      </c>
      <c r="I22" s="18">
        <v>95</v>
      </c>
      <c r="J22" s="18">
        <v>45</v>
      </c>
      <c r="K22" s="19">
        <f t="shared" si="0"/>
        <v>263</v>
      </c>
      <c r="L22" s="19">
        <f t="shared" si="1"/>
        <v>95</v>
      </c>
      <c r="M22" s="19">
        <f t="shared" si="2"/>
        <v>45</v>
      </c>
      <c r="N22" s="19">
        <f t="shared" si="3"/>
        <v>65.75</v>
      </c>
    </row>
    <row r="23" spans="5:14" x14ac:dyDescent="0.25">
      <c r="E23" s="117" t="s">
        <v>71</v>
      </c>
      <c r="F23" s="117"/>
      <c r="G23" s="17">
        <v>90</v>
      </c>
      <c r="H23" s="18">
        <v>49</v>
      </c>
      <c r="I23" s="18">
        <v>85</v>
      </c>
      <c r="J23" s="18">
        <v>85</v>
      </c>
      <c r="K23" s="19">
        <f t="shared" si="0"/>
        <v>309</v>
      </c>
      <c r="L23" s="19">
        <f t="shared" si="1"/>
        <v>90</v>
      </c>
      <c r="M23" s="19">
        <f t="shared" si="2"/>
        <v>49</v>
      </c>
      <c r="N23" s="19">
        <f t="shared" si="3"/>
        <v>77.25</v>
      </c>
    </row>
    <row r="24" spans="5:14" x14ac:dyDescent="0.25">
      <c r="E24" s="117" t="s">
        <v>67</v>
      </c>
      <c r="F24" s="117"/>
      <c r="G24" s="17">
        <v>54</v>
      </c>
      <c r="H24" s="18">
        <v>66</v>
      </c>
      <c r="I24" s="18">
        <v>80</v>
      </c>
      <c r="J24" s="18">
        <v>63</v>
      </c>
      <c r="K24" s="19">
        <f t="shared" si="0"/>
        <v>263</v>
      </c>
      <c r="L24" s="19">
        <f t="shared" si="1"/>
        <v>80</v>
      </c>
      <c r="M24" s="19">
        <f t="shared" si="2"/>
        <v>54</v>
      </c>
      <c r="N24" s="19">
        <f t="shared" si="3"/>
        <v>65.75</v>
      </c>
    </row>
    <row r="25" spans="5:14" x14ac:dyDescent="0.25">
      <c r="E25" s="117" t="s">
        <v>72</v>
      </c>
      <c r="F25" s="117"/>
      <c r="G25" s="17">
        <v>66</v>
      </c>
      <c r="H25" s="18">
        <v>83</v>
      </c>
      <c r="I25" s="18">
        <v>60</v>
      </c>
      <c r="J25" s="18">
        <v>41</v>
      </c>
      <c r="K25" s="19">
        <f t="shared" si="0"/>
        <v>250</v>
      </c>
      <c r="L25" s="19">
        <f t="shared" si="1"/>
        <v>83</v>
      </c>
      <c r="M25" s="19">
        <f t="shared" si="2"/>
        <v>41</v>
      </c>
      <c r="N25" s="19">
        <f t="shared" si="3"/>
        <v>62.5</v>
      </c>
    </row>
  </sheetData>
  <mergeCells count="17">
    <mergeCell ref="E25:F25"/>
    <mergeCell ref="E14:F14"/>
    <mergeCell ref="E15:F15"/>
    <mergeCell ref="E16:F16"/>
    <mergeCell ref="E17:F17"/>
    <mergeCell ref="E19:F19"/>
    <mergeCell ref="E18:F18"/>
    <mergeCell ref="E20:F20"/>
    <mergeCell ref="E21:F21"/>
    <mergeCell ref="E22:F22"/>
    <mergeCell ref="E23:F23"/>
    <mergeCell ref="E24:F24"/>
    <mergeCell ref="H7:L8"/>
    <mergeCell ref="E10:F10"/>
    <mergeCell ref="E11:F11"/>
    <mergeCell ref="E12:F12"/>
    <mergeCell ref="E13:F13"/>
  </mergeCells>
  <conditionalFormatting sqref="G11:J25">
    <cfRule type="cellIs" dxfId="0" priority="1" operator="lessThan">
      <formula>55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24"/>
  <sheetViews>
    <sheetView topLeftCell="A5" workbookViewId="0">
      <selection activeCell="H26" sqref="H26"/>
    </sheetView>
  </sheetViews>
  <sheetFormatPr defaultRowHeight="15" x14ac:dyDescent="0.25"/>
  <cols>
    <col min="6" max="6" width="16" customWidth="1"/>
    <col min="7" max="7" width="16.28515625" customWidth="1"/>
    <col min="8" max="8" width="16.7109375" customWidth="1"/>
    <col min="9" max="9" width="16" customWidth="1"/>
    <col min="10" max="10" width="14.42578125" customWidth="1"/>
  </cols>
  <sheetData>
    <row r="7" spans="2:10" x14ac:dyDescent="0.25">
      <c r="F7" s="25" t="s">
        <v>76</v>
      </c>
      <c r="G7" s="25" t="s">
        <v>81</v>
      </c>
      <c r="H7" s="25" t="s">
        <v>93</v>
      </c>
      <c r="I7" s="25" t="s">
        <v>95</v>
      </c>
      <c r="J7" s="25" t="s">
        <v>96</v>
      </c>
    </row>
    <row r="8" spans="2:10" x14ac:dyDescent="0.25">
      <c r="E8" s="24"/>
      <c r="F8" s="23" t="s">
        <v>80</v>
      </c>
      <c r="G8" s="23" t="s">
        <v>82</v>
      </c>
      <c r="H8" s="22">
        <v>8</v>
      </c>
      <c r="I8" s="22">
        <v>8000</v>
      </c>
      <c r="J8" s="19">
        <f t="shared" ref="J8:J19" si="0">H8*I8</f>
        <v>64000</v>
      </c>
    </row>
    <row r="9" spans="2:10" x14ac:dyDescent="0.25">
      <c r="F9" s="23" t="s">
        <v>77</v>
      </c>
      <c r="G9" s="23" t="s">
        <v>83</v>
      </c>
      <c r="H9" s="22">
        <v>5</v>
      </c>
      <c r="I9" s="22">
        <v>6000</v>
      </c>
      <c r="J9" s="19">
        <f t="shared" si="0"/>
        <v>30000</v>
      </c>
    </row>
    <row r="10" spans="2:10" x14ac:dyDescent="0.25">
      <c r="F10" s="23" t="s">
        <v>79</v>
      </c>
      <c r="G10" s="23" t="s">
        <v>84</v>
      </c>
      <c r="H10" s="22">
        <v>2</v>
      </c>
      <c r="I10" s="22">
        <v>3000</v>
      </c>
      <c r="J10" s="19">
        <f t="shared" si="0"/>
        <v>6000</v>
      </c>
    </row>
    <row r="11" spans="2:10" x14ac:dyDescent="0.25">
      <c r="F11" s="23" t="s">
        <v>78</v>
      </c>
      <c r="G11" s="23" t="s">
        <v>85</v>
      </c>
      <c r="H11" s="22">
        <v>4</v>
      </c>
      <c r="I11" s="22">
        <v>5000</v>
      </c>
      <c r="J11" s="19">
        <f t="shared" si="0"/>
        <v>20000</v>
      </c>
    </row>
    <row r="12" spans="2:10" x14ac:dyDescent="0.25">
      <c r="F12" s="23" t="s">
        <v>78</v>
      </c>
      <c r="G12" s="23" t="s">
        <v>94</v>
      </c>
      <c r="H12" s="22">
        <v>5</v>
      </c>
      <c r="I12" s="22">
        <v>5000</v>
      </c>
      <c r="J12" s="19">
        <f t="shared" si="0"/>
        <v>25000</v>
      </c>
    </row>
    <row r="13" spans="2:10" x14ac:dyDescent="0.25">
      <c r="F13" s="23" t="s">
        <v>102</v>
      </c>
      <c r="G13" s="23" t="s">
        <v>86</v>
      </c>
      <c r="H13" s="22">
        <v>6</v>
      </c>
      <c r="I13" s="22">
        <v>4500</v>
      </c>
      <c r="J13" s="19">
        <f t="shared" si="0"/>
        <v>27000</v>
      </c>
    </row>
    <row r="14" spans="2:10" x14ac:dyDescent="0.25">
      <c r="F14" s="23" t="s">
        <v>102</v>
      </c>
      <c r="G14" s="23" t="s">
        <v>87</v>
      </c>
      <c r="H14" s="22">
        <v>2</v>
      </c>
      <c r="I14" s="22">
        <v>4500</v>
      </c>
      <c r="J14" s="19">
        <f t="shared" si="0"/>
        <v>9000</v>
      </c>
    </row>
    <row r="15" spans="2:10" x14ac:dyDescent="0.25">
      <c r="B15" s="21"/>
      <c r="F15" s="23" t="s">
        <v>79</v>
      </c>
      <c r="G15" s="23" t="s">
        <v>88</v>
      </c>
      <c r="H15" s="22">
        <v>4</v>
      </c>
      <c r="I15" s="22">
        <v>3000</v>
      </c>
      <c r="J15" s="19">
        <f t="shared" si="0"/>
        <v>12000</v>
      </c>
    </row>
    <row r="16" spans="2:10" x14ac:dyDescent="0.25">
      <c r="F16" s="23" t="s">
        <v>78</v>
      </c>
      <c r="G16" s="23" t="s">
        <v>89</v>
      </c>
      <c r="H16" s="22">
        <v>5</v>
      </c>
      <c r="I16" s="22">
        <v>5000</v>
      </c>
      <c r="J16" s="19">
        <f t="shared" si="0"/>
        <v>25000</v>
      </c>
    </row>
    <row r="17" spans="6:10" x14ac:dyDescent="0.25">
      <c r="F17" s="23" t="s">
        <v>78</v>
      </c>
      <c r="G17" s="23" t="s">
        <v>90</v>
      </c>
      <c r="H17" s="22">
        <v>5</v>
      </c>
      <c r="I17" s="22">
        <v>5000</v>
      </c>
      <c r="J17" s="19">
        <f t="shared" si="0"/>
        <v>25000</v>
      </c>
    </row>
    <row r="18" spans="6:10" x14ac:dyDescent="0.25">
      <c r="F18" s="23" t="s">
        <v>80</v>
      </c>
      <c r="G18" s="23" t="s">
        <v>91</v>
      </c>
      <c r="H18" s="22">
        <v>8</v>
      </c>
      <c r="I18" s="22">
        <v>8000</v>
      </c>
      <c r="J18" s="19">
        <f t="shared" si="0"/>
        <v>64000</v>
      </c>
    </row>
    <row r="19" spans="6:10" x14ac:dyDescent="0.25">
      <c r="F19" s="23" t="s">
        <v>77</v>
      </c>
      <c r="G19" s="23" t="s">
        <v>92</v>
      </c>
      <c r="H19" s="22">
        <v>2</v>
      </c>
      <c r="I19" s="22">
        <v>6000</v>
      </c>
      <c r="J19" s="19">
        <f t="shared" si="0"/>
        <v>12000</v>
      </c>
    </row>
    <row r="20" spans="6:10" x14ac:dyDescent="0.25">
      <c r="F20" s="113" t="s">
        <v>97</v>
      </c>
      <c r="G20" s="113"/>
      <c r="H20" s="113"/>
      <c r="I20" s="113"/>
      <c r="J20" s="26">
        <f>SUMIF(F8:F19,"ANGGUR",J8:J19)</f>
        <v>128000</v>
      </c>
    </row>
    <row r="21" spans="6:10" x14ac:dyDescent="0.25">
      <c r="F21" s="113" t="s">
        <v>98</v>
      </c>
      <c r="G21" s="113"/>
      <c r="H21" s="113"/>
      <c r="I21" s="113"/>
      <c r="J21" s="26">
        <f>SUMIF(F8:F19,"PEPAYA",J8:J19)</f>
        <v>18000</v>
      </c>
    </row>
    <row r="22" spans="6:10" x14ac:dyDescent="0.25">
      <c r="F22" s="113" t="s">
        <v>99</v>
      </c>
      <c r="G22" s="113"/>
      <c r="H22" s="113"/>
      <c r="I22" s="113"/>
      <c r="J22" s="26">
        <f>SUMIF(F8:F19,"STERAWBERRY",J8:J19)</f>
        <v>36000</v>
      </c>
    </row>
    <row r="23" spans="6:10" x14ac:dyDescent="0.25">
      <c r="F23" s="113" t="s">
        <v>100</v>
      </c>
      <c r="G23" s="113"/>
      <c r="H23" s="113"/>
      <c r="I23" s="113"/>
      <c r="J23" s="26">
        <f>SUMIF(F8:F19,"SALAK",J8:J19)</f>
        <v>42000</v>
      </c>
    </row>
    <row r="24" spans="6:10" x14ac:dyDescent="0.25">
      <c r="F24" s="113" t="s">
        <v>101</v>
      </c>
      <c r="G24" s="113"/>
      <c r="H24" s="113"/>
      <c r="I24" s="113"/>
      <c r="J24" s="26">
        <f>SUMIF(F8:F19,"PISANG",J8:J19)</f>
        <v>95000</v>
      </c>
    </row>
  </sheetData>
  <mergeCells count="5">
    <mergeCell ref="F20:I20"/>
    <mergeCell ref="F21:I21"/>
    <mergeCell ref="F22:I22"/>
    <mergeCell ref="F23:I23"/>
    <mergeCell ref="F24:I24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2:O13"/>
  <sheetViews>
    <sheetView workbookViewId="0">
      <selection activeCell="H14" sqref="H14"/>
    </sheetView>
  </sheetViews>
  <sheetFormatPr defaultRowHeight="15" x14ac:dyDescent="0.25"/>
  <sheetData>
    <row r="12" spans="8:15" x14ac:dyDescent="0.25">
      <c r="H12" s="118" t="s">
        <v>103</v>
      </c>
      <c r="I12" s="119"/>
      <c r="J12" s="119"/>
      <c r="K12" s="119"/>
      <c r="L12" s="119"/>
      <c r="M12" s="119"/>
      <c r="N12" s="119"/>
      <c r="O12" s="119"/>
    </row>
    <row r="13" spans="8:15" x14ac:dyDescent="0.25">
      <c r="H13" s="119"/>
      <c r="I13" s="119"/>
      <c r="J13" s="119"/>
      <c r="K13" s="119"/>
      <c r="L13" s="119"/>
      <c r="M13" s="119"/>
      <c r="N13" s="119"/>
      <c r="O13" s="119"/>
    </row>
  </sheetData>
  <mergeCells count="1">
    <mergeCell ref="H12:O13"/>
  </mergeCell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2"/>
  <sheetViews>
    <sheetView zoomScale="78" zoomScaleNormal="78" workbookViewId="0">
      <selection activeCell="M20" sqref="M19:M20"/>
    </sheetView>
  </sheetViews>
  <sheetFormatPr defaultRowHeight="15" x14ac:dyDescent="0.25"/>
  <cols>
    <col min="6" max="6" width="11.42578125" customWidth="1"/>
    <col min="9" max="9" width="12.85546875" customWidth="1"/>
    <col min="10" max="10" width="13.85546875" customWidth="1"/>
  </cols>
  <sheetData>
    <row r="4" spans="2:12" x14ac:dyDescent="0.25">
      <c r="C4" s="121" t="s">
        <v>120</v>
      </c>
      <c r="D4" s="120"/>
      <c r="E4" s="120"/>
      <c r="F4" s="120"/>
      <c r="G4" s="120"/>
      <c r="H4" s="120"/>
      <c r="I4" s="28"/>
      <c r="J4" s="28"/>
      <c r="K4" s="28"/>
      <c r="L4" s="28"/>
    </row>
    <row r="5" spans="2:12" ht="30" customHeight="1" x14ac:dyDescent="0.25">
      <c r="B5" s="124" t="s">
        <v>104</v>
      </c>
      <c r="C5" s="124"/>
      <c r="D5" s="123" t="s">
        <v>106</v>
      </c>
      <c r="E5" s="124"/>
      <c r="F5" s="123" t="s">
        <v>33</v>
      </c>
      <c r="G5" s="125" t="s">
        <v>4</v>
      </c>
      <c r="H5" s="125" t="s">
        <v>5</v>
      </c>
      <c r="I5" s="126" t="s">
        <v>114</v>
      </c>
      <c r="J5" s="127" t="s">
        <v>17</v>
      </c>
    </row>
    <row r="6" spans="2:12" x14ac:dyDescent="0.25">
      <c r="B6" s="124"/>
      <c r="C6" s="124"/>
      <c r="D6" s="124"/>
      <c r="E6" s="124"/>
      <c r="F6" s="124"/>
      <c r="G6" s="125"/>
      <c r="H6" s="126"/>
      <c r="I6" s="126"/>
      <c r="J6" s="128"/>
    </row>
    <row r="7" spans="2:12" x14ac:dyDescent="0.25">
      <c r="B7" s="122">
        <v>45047</v>
      </c>
      <c r="C7" s="120"/>
      <c r="D7" s="120" t="s">
        <v>107</v>
      </c>
      <c r="E7" s="120"/>
      <c r="F7" s="27">
        <v>30</v>
      </c>
      <c r="G7" s="27">
        <v>10000</v>
      </c>
      <c r="H7" s="27">
        <v>13</v>
      </c>
      <c r="I7" s="27">
        <f t="shared" ref="I7:I16" si="0">F7-H7</f>
        <v>17</v>
      </c>
      <c r="J7" s="27">
        <f t="shared" ref="J7:J16" si="1">H7*G7</f>
        <v>130000</v>
      </c>
    </row>
    <row r="8" spans="2:12" x14ac:dyDescent="0.25">
      <c r="B8" s="122">
        <v>45048</v>
      </c>
      <c r="C8" s="120"/>
      <c r="D8" s="120" t="s">
        <v>108</v>
      </c>
      <c r="E8" s="120"/>
      <c r="F8" s="27">
        <v>45</v>
      </c>
      <c r="G8" s="27">
        <v>5000</v>
      </c>
      <c r="H8" s="27">
        <v>25</v>
      </c>
      <c r="I8" s="27">
        <f t="shared" si="0"/>
        <v>20</v>
      </c>
      <c r="J8" s="27">
        <f t="shared" si="1"/>
        <v>125000</v>
      </c>
    </row>
    <row r="9" spans="2:12" x14ac:dyDescent="0.25">
      <c r="B9" s="122">
        <v>45049</v>
      </c>
      <c r="C9" s="120"/>
      <c r="D9" s="120" t="s">
        <v>109</v>
      </c>
      <c r="E9" s="120"/>
      <c r="F9" s="27">
        <v>20</v>
      </c>
      <c r="G9" s="27">
        <v>3000</v>
      </c>
      <c r="H9" s="27">
        <v>11</v>
      </c>
      <c r="I9" s="27">
        <f t="shared" si="0"/>
        <v>9</v>
      </c>
      <c r="J9" s="27">
        <f t="shared" si="1"/>
        <v>33000</v>
      </c>
    </row>
    <row r="10" spans="2:12" x14ac:dyDescent="0.25">
      <c r="B10" s="120" t="s">
        <v>105</v>
      </c>
      <c r="C10" s="120"/>
      <c r="D10" s="120" t="s">
        <v>107</v>
      </c>
      <c r="E10" s="120"/>
      <c r="F10" s="27">
        <v>44</v>
      </c>
      <c r="G10" s="27">
        <v>10000</v>
      </c>
      <c r="H10" s="27">
        <v>20</v>
      </c>
      <c r="I10" s="27">
        <f t="shared" si="0"/>
        <v>24</v>
      </c>
      <c r="J10" s="27">
        <f t="shared" si="1"/>
        <v>200000</v>
      </c>
    </row>
    <row r="11" spans="2:12" x14ac:dyDescent="0.25">
      <c r="B11" s="122">
        <v>45051</v>
      </c>
      <c r="C11" s="120"/>
      <c r="D11" s="120" t="s">
        <v>110</v>
      </c>
      <c r="E11" s="120"/>
      <c r="F11" s="27">
        <v>55</v>
      </c>
      <c r="G11" s="27">
        <v>2000</v>
      </c>
      <c r="H11" s="27">
        <v>25</v>
      </c>
      <c r="I11" s="27">
        <f t="shared" si="0"/>
        <v>30</v>
      </c>
      <c r="J11" s="27">
        <f t="shared" si="1"/>
        <v>50000</v>
      </c>
    </row>
    <row r="12" spans="2:12" x14ac:dyDescent="0.25">
      <c r="B12" s="122">
        <v>45052</v>
      </c>
      <c r="C12" s="120"/>
      <c r="D12" s="120" t="s">
        <v>111</v>
      </c>
      <c r="E12" s="120"/>
      <c r="F12" s="27">
        <v>33</v>
      </c>
      <c r="G12" s="27">
        <v>15000</v>
      </c>
      <c r="H12" s="27">
        <v>13</v>
      </c>
      <c r="I12" s="27">
        <f t="shared" si="0"/>
        <v>20</v>
      </c>
      <c r="J12" s="27">
        <f t="shared" si="1"/>
        <v>195000</v>
      </c>
    </row>
    <row r="13" spans="2:12" x14ac:dyDescent="0.25">
      <c r="B13" s="122">
        <v>45053</v>
      </c>
      <c r="C13" s="120"/>
      <c r="D13" s="120" t="s">
        <v>107</v>
      </c>
      <c r="E13" s="120"/>
      <c r="F13" s="27">
        <v>59</v>
      </c>
      <c r="G13" s="27">
        <v>10000</v>
      </c>
      <c r="H13" s="27">
        <v>33</v>
      </c>
      <c r="I13" s="27">
        <f t="shared" si="0"/>
        <v>26</v>
      </c>
      <c r="J13" s="27">
        <f t="shared" si="1"/>
        <v>330000</v>
      </c>
    </row>
    <row r="14" spans="2:12" x14ac:dyDescent="0.25">
      <c r="B14" s="122">
        <v>45054</v>
      </c>
      <c r="C14" s="120"/>
      <c r="D14" s="120" t="s">
        <v>112</v>
      </c>
      <c r="E14" s="120"/>
      <c r="F14" s="27">
        <v>90</v>
      </c>
      <c r="G14" s="27">
        <v>15000</v>
      </c>
      <c r="H14" s="27">
        <v>57</v>
      </c>
      <c r="I14" s="27">
        <f t="shared" si="0"/>
        <v>33</v>
      </c>
      <c r="J14" s="27">
        <f t="shared" si="1"/>
        <v>855000</v>
      </c>
    </row>
    <row r="15" spans="2:12" x14ac:dyDescent="0.25">
      <c r="B15" s="122">
        <v>45055</v>
      </c>
      <c r="C15" s="120"/>
      <c r="D15" s="120" t="s">
        <v>113</v>
      </c>
      <c r="E15" s="120"/>
      <c r="F15" s="27">
        <v>33</v>
      </c>
      <c r="G15" s="27">
        <v>3000</v>
      </c>
      <c r="H15" s="27">
        <v>17</v>
      </c>
      <c r="I15" s="27">
        <f t="shared" si="0"/>
        <v>16</v>
      </c>
      <c r="J15" s="27">
        <f t="shared" si="1"/>
        <v>51000</v>
      </c>
    </row>
    <row r="16" spans="2:12" x14ac:dyDescent="0.25">
      <c r="B16" s="122">
        <v>45056</v>
      </c>
      <c r="C16" s="120"/>
      <c r="D16" s="120" t="s">
        <v>108</v>
      </c>
      <c r="E16" s="120"/>
      <c r="F16" s="27">
        <v>50</v>
      </c>
      <c r="G16" s="27">
        <v>5000</v>
      </c>
      <c r="H16" s="27">
        <v>10</v>
      </c>
      <c r="I16" s="27">
        <f t="shared" si="0"/>
        <v>40</v>
      </c>
      <c r="J16" s="27">
        <f t="shared" si="1"/>
        <v>50000</v>
      </c>
    </row>
    <row r="18" spans="1:9" x14ac:dyDescent="0.25">
      <c r="A18" s="108" t="s">
        <v>115</v>
      </c>
      <c r="B18" s="108"/>
      <c r="C18" s="120" t="s">
        <v>116</v>
      </c>
      <c r="D18" s="120"/>
      <c r="F18" s="108" t="s">
        <v>118</v>
      </c>
      <c r="G18" s="108"/>
      <c r="H18" s="120">
        <f>SUM(J7:J16)</f>
        <v>2019000</v>
      </c>
      <c r="I18" s="120"/>
    </row>
    <row r="19" spans="1:9" x14ac:dyDescent="0.25">
      <c r="A19" s="120" t="s">
        <v>107</v>
      </c>
      <c r="B19" s="120"/>
      <c r="C19" s="120">
        <f>SUMIF(D7:E16,"BUKU TULIS",J7:J16)</f>
        <v>660000</v>
      </c>
      <c r="D19" s="120"/>
      <c r="F19" s="120" t="s">
        <v>119</v>
      </c>
      <c r="G19" s="120"/>
      <c r="H19" s="120">
        <f>MAX(J7:J16)</f>
        <v>855000</v>
      </c>
      <c r="I19" s="120"/>
    </row>
    <row r="20" spans="1:9" x14ac:dyDescent="0.25">
      <c r="A20" s="120" t="s">
        <v>117</v>
      </c>
      <c r="B20" s="120"/>
      <c r="C20" s="120">
        <f>SUMIF(D7:E16,"BUKU GAMBAR",J7:J16)</f>
        <v>195000</v>
      </c>
      <c r="D20" s="120"/>
      <c r="F20" s="120" t="s">
        <v>57</v>
      </c>
      <c r="G20" s="120"/>
      <c r="H20" s="120">
        <f>MIN(J7:J16)</f>
        <v>33000</v>
      </c>
      <c r="I20" s="120"/>
    </row>
    <row r="21" spans="1:9" x14ac:dyDescent="0.25">
      <c r="A21" s="120" t="s">
        <v>113</v>
      </c>
      <c r="B21" s="120"/>
      <c r="C21" s="120">
        <f>SUMIF(D7:E16,"PULPEN",J7:J16)</f>
        <v>33000</v>
      </c>
      <c r="D21" s="120"/>
      <c r="F21" s="120" t="s">
        <v>58</v>
      </c>
      <c r="G21" s="120"/>
      <c r="H21" s="120">
        <f>AVERAGE(J7:J16)</f>
        <v>201900</v>
      </c>
      <c r="I21" s="120"/>
    </row>
    <row r="22" spans="1:9" x14ac:dyDescent="0.25">
      <c r="A22" s="120" t="s">
        <v>108</v>
      </c>
      <c r="B22" s="120"/>
      <c r="C22" s="120">
        <f>SUMIF(D7:E16,"SPIDOL",J7:J16)</f>
        <v>175000</v>
      </c>
      <c r="D22" s="120"/>
    </row>
  </sheetData>
  <mergeCells count="46">
    <mergeCell ref="B5:C6"/>
    <mergeCell ref="I5:I6"/>
    <mergeCell ref="J5:J6"/>
    <mergeCell ref="B11:C11"/>
    <mergeCell ref="B12:C12"/>
    <mergeCell ref="B7:C7"/>
    <mergeCell ref="B8:C8"/>
    <mergeCell ref="A22:B22"/>
    <mergeCell ref="C21:D21"/>
    <mergeCell ref="C22:D22"/>
    <mergeCell ref="D10:E10"/>
    <mergeCell ref="C18:D18"/>
    <mergeCell ref="C19:D19"/>
    <mergeCell ref="C20:D20"/>
    <mergeCell ref="D12:E12"/>
    <mergeCell ref="D13:E13"/>
    <mergeCell ref="D14:E14"/>
    <mergeCell ref="D15:E15"/>
    <mergeCell ref="D16:E16"/>
    <mergeCell ref="B15:C15"/>
    <mergeCell ref="B13:C13"/>
    <mergeCell ref="B14:C14"/>
    <mergeCell ref="C4:H4"/>
    <mergeCell ref="A19:B19"/>
    <mergeCell ref="A18:B18"/>
    <mergeCell ref="A20:B20"/>
    <mergeCell ref="A21:B21"/>
    <mergeCell ref="B16:C16"/>
    <mergeCell ref="D5:E6"/>
    <mergeCell ref="F5:F6"/>
    <mergeCell ref="G5:G6"/>
    <mergeCell ref="H5:H6"/>
    <mergeCell ref="D7:E7"/>
    <mergeCell ref="D8:E8"/>
    <mergeCell ref="D9:E9"/>
    <mergeCell ref="D11:E11"/>
    <mergeCell ref="B9:C9"/>
    <mergeCell ref="B10:C10"/>
    <mergeCell ref="H18:I18"/>
    <mergeCell ref="H19:I19"/>
    <mergeCell ref="H20:I20"/>
    <mergeCell ref="H21:I21"/>
    <mergeCell ref="F21:G21"/>
    <mergeCell ref="F18:G18"/>
    <mergeCell ref="F19:G19"/>
    <mergeCell ref="F20:G20"/>
  </mergeCells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2"/>
  <sheetViews>
    <sheetView workbookViewId="0">
      <selection activeCell="E5" sqref="E5"/>
    </sheetView>
  </sheetViews>
  <sheetFormatPr defaultRowHeight="15" x14ac:dyDescent="0.25"/>
  <cols>
    <col min="8" max="8" width="12.7109375" customWidth="1"/>
    <col min="9" max="9" width="13.85546875" customWidth="1"/>
  </cols>
  <sheetData>
    <row r="3" spans="2:14" ht="18.75" x14ac:dyDescent="0.25">
      <c r="F3" s="129" t="s">
        <v>142</v>
      </c>
      <c r="G3" s="129"/>
      <c r="H3" s="129"/>
      <c r="I3" s="129"/>
    </row>
    <row r="4" spans="2:14" ht="18.75" x14ac:dyDescent="0.3">
      <c r="G4" s="130" t="s">
        <v>143</v>
      </c>
      <c r="H4" s="130"/>
    </row>
    <row r="6" spans="2:14" x14ac:dyDescent="0.25">
      <c r="B6" s="133" t="s">
        <v>121</v>
      </c>
      <c r="C6" s="133" t="s">
        <v>122</v>
      </c>
      <c r="D6" s="133"/>
      <c r="E6" s="133" t="s">
        <v>123</v>
      </c>
      <c r="F6" s="133"/>
      <c r="G6" s="133"/>
      <c r="H6" s="135" t="s">
        <v>134</v>
      </c>
      <c r="I6" s="135"/>
      <c r="J6" s="134" t="s">
        <v>137</v>
      </c>
      <c r="K6" s="133"/>
      <c r="L6" s="134" t="s">
        <v>138</v>
      </c>
      <c r="M6" s="134"/>
      <c r="N6" s="134"/>
    </row>
    <row r="7" spans="2:14" x14ac:dyDescent="0.25">
      <c r="B7" s="133"/>
      <c r="C7" s="133"/>
      <c r="D7" s="133"/>
      <c r="E7" s="133"/>
      <c r="F7" s="133"/>
      <c r="G7" s="133"/>
      <c r="H7" s="32" t="s">
        <v>135</v>
      </c>
      <c r="I7" s="32" t="s">
        <v>136</v>
      </c>
      <c r="J7" s="133"/>
      <c r="K7" s="133"/>
      <c r="L7" s="134"/>
      <c r="M7" s="134"/>
      <c r="N7" s="134"/>
    </row>
    <row r="8" spans="2:14" x14ac:dyDescent="0.25">
      <c r="B8" s="29">
        <v>1</v>
      </c>
      <c r="C8" s="120">
        <v>12040102</v>
      </c>
      <c r="D8" s="120"/>
      <c r="E8" s="111" t="s">
        <v>124</v>
      </c>
      <c r="F8" s="111"/>
      <c r="G8" s="111"/>
      <c r="H8" s="29">
        <v>80</v>
      </c>
      <c r="I8" s="29">
        <v>75</v>
      </c>
      <c r="J8" s="132">
        <f t="shared" ref="J8:J17" si="0">AVERAGE(H8:I8)</f>
        <v>77.5</v>
      </c>
      <c r="K8" s="132"/>
      <c r="L8" s="132" t="str">
        <f t="shared" ref="L8:L17" si="1">IF(J8&gt;=60,"lulus","gagal")</f>
        <v>lulus</v>
      </c>
      <c r="M8" s="132"/>
      <c r="N8" s="132"/>
    </row>
    <row r="9" spans="2:14" x14ac:dyDescent="0.25">
      <c r="B9" s="29">
        <v>2</v>
      </c>
      <c r="C9" s="120">
        <v>12040103</v>
      </c>
      <c r="D9" s="120"/>
      <c r="E9" s="111" t="s">
        <v>125</v>
      </c>
      <c r="F9" s="111"/>
      <c r="G9" s="111"/>
      <c r="H9" s="29">
        <v>65</v>
      </c>
      <c r="I9" s="29">
        <v>70</v>
      </c>
      <c r="J9" s="132">
        <f t="shared" si="0"/>
        <v>67.5</v>
      </c>
      <c r="K9" s="132"/>
      <c r="L9" s="132" t="str">
        <f t="shared" si="1"/>
        <v>lulus</v>
      </c>
      <c r="M9" s="132"/>
      <c r="N9" s="132"/>
    </row>
    <row r="10" spans="2:14" x14ac:dyDescent="0.25">
      <c r="B10" s="29">
        <v>3</v>
      </c>
      <c r="C10" s="120">
        <v>12040104</v>
      </c>
      <c r="D10" s="120"/>
      <c r="E10" s="111" t="s">
        <v>126</v>
      </c>
      <c r="F10" s="111"/>
      <c r="G10" s="111"/>
      <c r="H10" s="29">
        <v>30</v>
      </c>
      <c r="I10" s="29">
        <v>40</v>
      </c>
      <c r="J10" s="132">
        <f t="shared" si="0"/>
        <v>35</v>
      </c>
      <c r="K10" s="132"/>
      <c r="L10" s="132" t="str">
        <f t="shared" si="1"/>
        <v>gagal</v>
      </c>
      <c r="M10" s="132"/>
      <c r="N10" s="132"/>
    </row>
    <row r="11" spans="2:14" x14ac:dyDescent="0.25">
      <c r="B11" s="29">
        <v>4</v>
      </c>
      <c r="C11" s="120">
        <v>12040105</v>
      </c>
      <c r="D11" s="120"/>
      <c r="E11" s="111" t="s">
        <v>127</v>
      </c>
      <c r="F11" s="111"/>
      <c r="G11" s="111"/>
      <c r="H11" s="29">
        <v>20</v>
      </c>
      <c r="I11" s="29">
        <v>25</v>
      </c>
      <c r="J11" s="132">
        <f t="shared" si="0"/>
        <v>22.5</v>
      </c>
      <c r="K11" s="132"/>
      <c r="L11" s="132" t="str">
        <f t="shared" si="1"/>
        <v>gagal</v>
      </c>
      <c r="M11" s="132"/>
      <c r="N11" s="132"/>
    </row>
    <row r="12" spans="2:14" x14ac:dyDescent="0.25">
      <c r="B12" s="29">
        <v>5</v>
      </c>
      <c r="C12" s="120">
        <v>12040106</v>
      </c>
      <c r="D12" s="120"/>
      <c r="E12" s="111" t="s">
        <v>128</v>
      </c>
      <c r="F12" s="111"/>
      <c r="G12" s="111"/>
      <c r="H12" s="29">
        <v>80</v>
      </c>
      <c r="I12" s="29">
        <v>90</v>
      </c>
      <c r="J12" s="132">
        <f t="shared" si="0"/>
        <v>85</v>
      </c>
      <c r="K12" s="132"/>
      <c r="L12" s="132" t="str">
        <f t="shared" si="1"/>
        <v>lulus</v>
      </c>
      <c r="M12" s="132"/>
      <c r="N12" s="132"/>
    </row>
    <row r="13" spans="2:14" x14ac:dyDescent="0.25">
      <c r="B13" s="29">
        <v>6</v>
      </c>
      <c r="C13" s="120">
        <v>12040107</v>
      </c>
      <c r="D13" s="120"/>
      <c r="E13" s="111" t="s">
        <v>129</v>
      </c>
      <c r="F13" s="111"/>
      <c r="G13" s="111"/>
      <c r="H13" s="29">
        <v>50</v>
      </c>
      <c r="I13" s="29">
        <v>30</v>
      </c>
      <c r="J13" s="132">
        <f t="shared" si="0"/>
        <v>40</v>
      </c>
      <c r="K13" s="132"/>
      <c r="L13" s="132" t="str">
        <f t="shared" si="1"/>
        <v>gagal</v>
      </c>
      <c r="M13" s="132"/>
      <c r="N13" s="132"/>
    </row>
    <row r="14" spans="2:14" x14ac:dyDescent="0.25">
      <c r="B14" s="29">
        <v>7</v>
      </c>
      <c r="C14" s="120">
        <v>12040108</v>
      </c>
      <c r="D14" s="120"/>
      <c r="E14" s="111" t="s">
        <v>130</v>
      </c>
      <c r="F14" s="111"/>
      <c r="G14" s="111"/>
      <c r="H14" s="29">
        <v>40</v>
      </c>
      <c r="I14" s="29">
        <v>60</v>
      </c>
      <c r="J14" s="132">
        <f t="shared" si="0"/>
        <v>50</v>
      </c>
      <c r="K14" s="132"/>
      <c r="L14" s="132" t="str">
        <f t="shared" si="1"/>
        <v>gagal</v>
      </c>
      <c r="M14" s="132"/>
      <c r="N14" s="132"/>
    </row>
    <row r="15" spans="2:14" x14ac:dyDescent="0.25">
      <c r="B15" s="29">
        <v>8</v>
      </c>
      <c r="C15" s="120">
        <v>12040109</v>
      </c>
      <c r="D15" s="120"/>
      <c r="E15" s="111" t="s">
        <v>131</v>
      </c>
      <c r="F15" s="111"/>
      <c r="G15" s="111"/>
      <c r="H15" s="29">
        <v>100</v>
      </c>
      <c r="I15" s="29">
        <v>80</v>
      </c>
      <c r="J15" s="132">
        <f t="shared" si="0"/>
        <v>90</v>
      </c>
      <c r="K15" s="132"/>
      <c r="L15" s="132" t="str">
        <f t="shared" si="1"/>
        <v>lulus</v>
      </c>
      <c r="M15" s="132"/>
      <c r="N15" s="132"/>
    </row>
    <row r="16" spans="2:14" x14ac:dyDescent="0.25">
      <c r="B16" s="29">
        <v>9</v>
      </c>
      <c r="C16" s="120">
        <v>12040110</v>
      </c>
      <c r="D16" s="120"/>
      <c r="E16" s="111" t="s">
        <v>132</v>
      </c>
      <c r="F16" s="111"/>
      <c r="G16" s="111"/>
      <c r="H16" s="29">
        <v>65</v>
      </c>
      <c r="I16" s="29">
        <v>60</v>
      </c>
      <c r="J16" s="132">
        <f t="shared" si="0"/>
        <v>62.5</v>
      </c>
      <c r="K16" s="132"/>
      <c r="L16" s="132" t="str">
        <f t="shared" si="1"/>
        <v>lulus</v>
      </c>
      <c r="M16" s="132"/>
      <c r="N16" s="132"/>
    </row>
    <row r="17" spans="2:14" x14ac:dyDescent="0.25">
      <c r="B17" s="29">
        <v>10</v>
      </c>
      <c r="C17" s="120">
        <v>12004011</v>
      </c>
      <c r="D17" s="120"/>
      <c r="E17" s="111" t="s">
        <v>133</v>
      </c>
      <c r="F17" s="111"/>
      <c r="G17" s="111"/>
      <c r="H17" s="29">
        <v>65</v>
      </c>
      <c r="I17" s="29">
        <v>70</v>
      </c>
      <c r="J17" s="132">
        <f t="shared" si="0"/>
        <v>67.5</v>
      </c>
      <c r="K17" s="132"/>
      <c r="L17" s="132" t="str">
        <f t="shared" si="1"/>
        <v>lulus</v>
      </c>
      <c r="M17" s="132"/>
      <c r="N17" s="132"/>
    </row>
    <row r="19" spans="2:14" x14ac:dyDescent="0.25">
      <c r="E19" s="131" t="s">
        <v>139</v>
      </c>
      <c r="F19" s="131"/>
      <c r="G19" s="131"/>
      <c r="H19" s="131"/>
      <c r="I19" s="131"/>
      <c r="J19" s="131"/>
      <c r="K19" s="131"/>
      <c r="L19" s="120">
        <f>AVERAGE(J8:K17)</f>
        <v>59.75</v>
      </c>
      <c r="M19" s="120"/>
      <c r="N19" s="120"/>
    </row>
    <row r="20" spans="2:14" x14ac:dyDescent="0.25">
      <c r="E20" s="131" t="s">
        <v>30</v>
      </c>
      <c r="F20" s="131"/>
      <c r="G20" s="131"/>
      <c r="H20" s="131"/>
      <c r="I20" s="131"/>
      <c r="J20" s="131"/>
      <c r="K20" s="131"/>
      <c r="L20" s="120">
        <f>MAX(J8:K17)</f>
        <v>90</v>
      </c>
      <c r="M20" s="120"/>
      <c r="N20" s="120"/>
    </row>
    <row r="21" spans="2:14" x14ac:dyDescent="0.25">
      <c r="E21" s="131" t="s">
        <v>140</v>
      </c>
      <c r="F21" s="131"/>
      <c r="G21" s="131"/>
      <c r="H21" s="131"/>
      <c r="I21" s="131"/>
      <c r="J21" s="131"/>
      <c r="K21" s="131"/>
      <c r="L21" s="120">
        <f>MIN(J8:K17)</f>
        <v>22.5</v>
      </c>
      <c r="M21" s="120"/>
      <c r="N21" s="120"/>
    </row>
    <row r="22" spans="2:14" x14ac:dyDescent="0.25">
      <c r="E22" s="131" t="s">
        <v>141</v>
      </c>
      <c r="F22" s="131"/>
      <c r="G22" s="131"/>
      <c r="H22" s="131"/>
      <c r="I22" s="131"/>
      <c r="J22" s="131"/>
      <c r="K22" s="131"/>
      <c r="L22" s="120">
        <v>6</v>
      </c>
      <c r="M22" s="120"/>
      <c r="N22" s="120"/>
    </row>
  </sheetData>
  <mergeCells count="56">
    <mergeCell ref="E16:G16"/>
    <mergeCell ref="E17:G17"/>
    <mergeCell ref="C13:D13"/>
    <mergeCell ref="C14:D14"/>
    <mergeCell ref="C15:D15"/>
    <mergeCell ref="C16:D16"/>
    <mergeCell ref="C17:D17"/>
    <mergeCell ref="C6:D7"/>
    <mergeCell ref="B6:B7"/>
    <mergeCell ref="H6:I6"/>
    <mergeCell ref="J6:K7"/>
    <mergeCell ref="E12:G12"/>
    <mergeCell ref="E8:G8"/>
    <mergeCell ref="E9:G9"/>
    <mergeCell ref="E10:G10"/>
    <mergeCell ref="E11:G11"/>
    <mergeCell ref="C8:D8"/>
    <mergeCell ref="C9:D9"/>
    <mergeCell ref="C10:D10"/>
    <mergeCell ref="C11:D11"/>
    <mergeCell ref="C12:D12"/>
    <mergeCell ref="L6:N7"/>
    <mergeCell ref="J8:K8"/>
    <mergeCell ref="J9:K9"/>
    <mergeCell ref="J10:K10"/>
    <mergeCell ref="J11:K11"/>
    <mergeCell ref="L8:N8"/>
    <mergeCell ref="L9:N9"/>
    <mergeCell ref="L10:N10"/>
    <mergeCell ref="L11:N11"/>
    <mergeCell ref="L12:N12"/>
    <mergeCell ref="L19:N19"/>
    <mergeCell ref="L20:N20"/>
    <mergeCell ref="L21:N21"/>
    <mergeCell ref="L22:N22"/>
    <mergeCell ref="L13:N13"/>
    <mergeCell ref="L14:N14"/>
    <mergeCell ref="L15:N15"/>
    <mergeCell ref="L16:N16"/>
    <mergeCell ref="L17:N17"/>
    <mergeCell ref="F3:I3"/>
    <mergeCell ref="G4:H4"/>
    <mergeCell ref="E20:K20"/>
    <mergeCell ref="E21:K21"/>
    <mergeCell ref="E22:K22"/>
    <mergeCell ref="E19:K19"/>
    <mergeCell ref="J13:K13"/>
    <mergeCell ref="J14:K14"/>
    <mergeCell ref="J15:K15"/>
    <mergeCell ref="J16:K16"/>
    <mergeCell ref="J17:K17"/>
    <mergeCell ref="J12:K12"/>
    <mergeCell ref="E6:G7"/>
    <mergeCell ref="E13:G13"/>
    <mergeCell ref="E14:G14"/>
    <mergeCell ref="E15:G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2"/>
  <sheetViews>
    <sheetView workbookViewId="0">
      <selection activeCell="K8" sqref="K8"/>
    </sheetView>
  </sheetViews>
  <sheetFormatPr defaultRowHeight="15" x14ac:dyDescent="0.25"/>
  <cols>
    <col min="9" max="9" width="13.5703125" customWidth="1"/>
    <col min="10" max="10" width="14.140625" customWidth="1"/>
    <col min="11" max="11" width="15" customWidth="1"/>
  </cols>
  <sheetData>
    <row r="3" spans="4:11" ht="18.75" x14ac:dyDescent="0.3">
      <c r="F3" s="136" t="s">
        <v>159</v>
      </c>
      <c r="G3" s="136"/>
      <c r="H3" s="136"/>
      <c r="I3" s="136"/>
    </row>
    <row r="4" spans="4:11" ht="21" x14ac:dyDescent="0.35">
      <c r="F4" s="137" t="s">
        <v>160</v>
      </c>
      <c r="G4" s="137"/>
      <c r="H4" s="137"/>
      <c r="I4" s="137"/>
    </row>
    <row r="7" spans="4:11" ht="30" x14ac:dyDescent="0.25">
      <c r="D7" s="34" t="s">
        <v>121</v>
      </c>
      <c r="E7" s="34" t="s">
        <v>144</v>
      </c>
      <c r="F7" s="138" t="s">
        <v>145</v>
      </c>
      <c r="G7" s="138"/>
      <c r="H7" s="138"/>
      <c r="I7" s="35" t="s">
        <v>151</v>
      </c>
      <c r="J7" s="35" t="s">
        <v>152</v>
      </c>
      <c r="K7" s="35" t="s">
        <v>153</v>
      </c>
    </row>
    <row r="8" spans="4:11" x14ac:dyDescent="0.25">
      <c r="D8" s="34">
        <v>1</v>
      </c>
      <c r="E8" s="34">
        <v>34536</v>
      </c>
      <c r="F8" s="121" t="s">
        <v>146</v>
      </c>
      <c r="G8" s="121"/>
      <c r="H8" s="121"/>
      <c r="I8" s="34" t="s">
        <v>154</v>
      </c>
      <c r="J8" s="34" t="s">
        <v>155</v>
      </c>
      <c r="K8" s="33">
        <f>IF(J8="S2",10000000,IF(J8="S3",25000000,IF(J8="S1",15000000)))</f>
        <v>10000000</v>
      </c>
    </row>
    <row r="9" spans="4:11" x14ac:dyDescent="0.25">
      <c r="D9" s="34">
        <v>2</v>
      </c>
      <c r="E9" s="34">
        <v>45672</v>
      </c>
      <c r="F9" s="121" t="s">
        <v>147</v>
      </c>
      <c r="G9" s="121"/>
      <c r="H9" s="121"/>
      <c r="I9" s="34" t="s">
        <v>154</v>
      </c>
      <c r="J9" s="34" t="s">
        <v>156</v>
      </c>
      <c r="K9" s="33">
        <f>IF(J9="S2",10000000,IF(J9="S3",25000000,IF(J9="S1",15000000)))</f>
        <v>25000000</v>
      </c>
    </row>
    <row r="10" spans="4:11" x14ac:dyDescent="0.25">
      <c r="D10" s="34">
        <v>3</v>
      </c>
      <c r="E10" s="34">
        <v>63786</v>
      </c>
      <c r="F10" s="121" t="s">
        <v>148</v>
      </c>
      <c r="G10" s="121"/>
      <c r="H10" s="121"/>
      <c r="I10" s="34" t="s">
        <v>154</v>
      </c>
      <c r="J10" s="34" t="s">
        <v>157</v>
      </c>
      <c r="K10" s="33">
        <f>IF(J10="S2",10000000,IF(J10="S3",25000000,IF(J10="S1",15000000)))</f>
        <v>15000000</v>
      </c>
    </row>
    <row r="11" spans="4:11" x14ac:dyDescent="0.25">
      <c r="D11" s="34">
        <v>4</v>
      </c>
      <c r="E11" s="34">
        <v>67432</v>
      </c>
      <c r="F11" s="121" t="s">
        <v>149</v>
      </c>
      <c r="G11" s="121"/>
      <c r="H11" s="121"/>
      <c r="I11" s="34" t="s">
        <v>154</v>
      </c>
      <c r="J11" s="34" t="s">
        <v>158</v>
      </c>
      <c r="K11" s="33">
        <v>25000000</v>
      </c>
    </row>
    <row r="12" spans="4:11" x14ac:dyDescent="0.25">
      <c r="D12" s="34">
        <v>5</v>
      </c>
      <c r="E12" s="34">
        <v>78455</v>
      </c>
      <c r="F12" s="121" t="s">
        <v>150</v>
      </c>
      <c r="G12" s="121"/>
      <c r="H12" s="121"/>
      <c r="I12" s="34" t="s">
        <v>154</v>
      </c>
      <c r="J12" s="34" t="s">
        <v>155</v>
      </c>
      <c r="K12" s="33">
        <f>IF(J12="S2",10000000,IF(J12="S3",25000000,IF(J12="S1",15000000)))</f>
        <v>10000000</v>
      </c>
    </row>
  </sheetData>
  <mergeCells count="8">
    <mergeCell ref="F10:H10"/>
    <mergeCell ref="F11:H11"/>
    <mergeCell ref="F12:H12"/>
    <mergeCell ref="F3:I3"/>
    <mergeCell ref="F4:I4"/>
    <mergeCell ref="F7:H7"/>
    <mergeCell ref="F8:H8"/>
    <mergeCell ref="F9:H9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latihan1</vt:lpstr>
      <vt:lpstr>salah</vt:lpstr>
      <vt:lpstr>latihan2</vt:lpstr>
      <vt:lpstr>latihan 3</vt:lpstr>
      <vt:lpstr>LATIHAN4</vt:lpstr>
      <vt:lpstr>latihan 5</vt:lpstr>
      <vt:lpstr>latihan6</vt:lpstr>
      <vt:lpstr>latihan7</vt:lpstr>
      <vt:lpstr>latihan8</vt:lpstr>
      <vt:lpstr>latihan9</vt:lpstr>
      <vt:lpstr>latihan10</vt:lpstr>
      <vt:lpstr>coret coret</vt:lpstr>
      <vt:lpstr>latihan11</vt:lpstr>
      <vt:lpstr>latihan12</vt:lpstr>
      <vt:lpstr>latihan13</vt:lpstr>
      <vt:lpstr>lartihan14</vt:lpstr>
      <vt:lpstr>latihan15</vt:lpstr>
      <vt:lpstr>Sheet2</vt:lpstr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2023-07-27T02:05:55Z</dcterms:created>
  <dcterms:modified xsi:type="dcterms:W3CDTF">2024-02-12T06:39:40Z</dcterms:modified>
</cp:coreProperties>
</file>