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  <sheet state="visible" name="Sheet4" sheetId="3" r:id="rId6"/>
    <sheet state="visible" name="Sheet5" sheetId="4" r:id="rId7"/>
    <sheet state="visible" name="Sheet6" sheetId="5" r:id="rId8"/>
    <sheet state="visible" name="Sheet2" sheetId="6" r:id="rId9"/>
  </sheets>
  <definedNames>
    <definedName name="nama_barang">Sheet6!$A$20:$B$24</definedName>
  </definedNames>
  <calcPr/>
</workbook>
</file>

<file path=xl/sharedStrings.xml><?xml version="1.0" encoding="utf-8"?>
<sst xmlns="http://schemas.openxmlformats.org/spreadsheetml/2006/main" count="182" uniqueCount="132">
  <si>
    <t xml:space="preserve">                              </t>
  </si>
  <si>
    <t>NO</t>
  </si>
  <si>
    <t>NAMA 
PEMBELI</t>
  </si>
  <si>
    <t>TYPE 
MOBIL</t>
  </si>
  <si>
    <t>MERK 
MOBIL</t>
  </si>
  <si>
    <t>HARGA
JUAL</t>
  </si>
  <si>
    <t>CARA
PEMBAYARAN</t>
  </si>
  <si>
    <t>DISCOUNT</t>
  </si>
  <si>
    <t>BONUS</t>
  </si>
  <si>
    <t>JUMLAH
BAYAR</t>
  </si>
  <si>
    <t>UDIN</t>
  </si>
  <si>
    <t>KREDIT</t>
  </si>
  <si>
    <t>TV</t>
  </si>
  <si>
    <t>RAFA</t>
  </si>
  <si>
    <t>CASH</t>
  </si>
  <si>
    <t>FATAH</t>
  </si>
  <si>
    <t>STEVEN</t>
  </si>
  <si>
    <t>BAMBANG</t>
  </si>
  <si>
    <t>SYAIFUL</t>
  </si>
  <si>
    <t xml:space="preserve">CASH </t>
  </si>
  <si>
    <t>PUTRI</t>
  </si>
  <si>
    <t>SUB TOTAL</t>
  </si>
  <si>
    <t>PAJAK</t>
  </si>
  <si>
    <t>RESUME</t>
  </si>
  <si>
    <t>PENDAPATAN</t>
  </si>
  <si>
    <t>TOTAL BAYAR</t>
  </si>
  <si>
    <t>AVANZA</t>
  </si>
  <si>
    <t xml:space="preserve">RATA RATA PENJUALAN </t>
  </si>
  <si>
    <t>XENIA</t>
  </si>
  <si>
    <t>APV</t>
  </si>
  <si>
    <t>TERANG ABADI COMPUTER</t>
  </si>
  <si>
    <t>NOMOR 
PESERTA</t>
  </si>
  <si>
    <t>NAMA
PESERTA</t>
  </si>
  <si>
    <t>JENIS
KELAMIN</t>
  </si>
  <si>
    <t>NAMA 
PAKET</t>
  </si>
  <si>
    <t>BIAYA 
PENDIDIKAN</t>
  </si>
  <si>
    <t>00301-L01</t>
  </si>
  <si>
    <t>THOMAS</t>
  </si>
  <si>
    <t>00302-P02</t>
  </si>
  <si>
    <t>AISYAH</t>
  </si>
  <si>
    <t>00301-L03</t>
  </si>
  <si>
    <t>JANN</t>
  </si>
  <si>
    <t>00303-L04</t>
  </si>
  <si>
    <t>DAVID</t>
  </si>
  <si>
    <t>00302-P05</t>
  </si>
  <si>
    <t>ZAHRA</t>
  </si>
  <si>
    <t>00303-L06</t>
  </si>
  <si>
    <t>HARBOUR</t>
  </si>
  <si>
    <t>TABEL HARGA TV UKURAN 14</t>
  </si>
  <si>
    <t>KODE BARANG</t>
  </si>
  <si>
    <t>MERK</t>
  </si>
  <si>
    <t>HARGA</t>
  </si>
  <si>
    <t>TV-01</t>
  </si>
  <si>
    <t>SANYO</t>
  </si>
  <si>
    <t>TV-02</t>
  </si>
  <si>
    <t>JVC</t>
  </si>
  <si>
    <t>TV-03</t>
  </si>
  <si>
    <t>POLITRON</t>
  </si>
  <si>
    <t>TV-04</t>
  </si>
  <si>
    <t>TOSHIBA</t>
  </si>
  <si>
    <t>TV-05</t>
  </si>
  <si>
    <t>SONY</t>
  </si>
  <si>
    <t>DAFTAR PENJUALAN TELEVISI</t>
  </si>
  <si>
    <t>NAMA PEMBELI</t>
  </si>
  <si>
    <t>JUMLAH UNIT</t>
  </si>
  <si>
    <t>MERK TV</t>
  </si>
  <si>
    <t>JUMLAH BAYAR</t>
  </si>
  <si>
    <t>ADEL</t>
  </si>
  <si>
    <t>BELLA</t>
  </si>
  <si>
    <t>CINTA LAURA</t>
  </si>
  <si>
    <t>DELLA</t>
  </si>
  <si>
    <t>ELLA</t>
  </si>
  <si>
    <t>TOKO SUMBER TERANG</t>
  </si>
  <si>
    <t xml:space="preserve">MERK </t>
  </si>
  <si>
    <t xml:space="preserve">TOSHIBA </t>
  </si>
  <si>
    <t>LAPORAN KEUNTUNGAN MINGGUAN
TOKO ""JAYA ELECTRIC"" 
JAKARTA</t>
  </si>
  <si>
    <t>TANGGAL HARI INI</t>
  </si>
  <si>
    <t>KODE 
BARANG</t>
  </si>
  <si>
    <t>NAMA BARANG</t>
  </si>
  <si>
    <t>MERK
BARANG</t>
  </si>
  <si>
    <t>MODAL SATUAN</t>
  </si>
  <si>
    <t>HARGA JUAL
SATUAN</t>
  </si>
  <si>
    <t>JUMLAH 
TERJUAL</t>
  </si>
  <si>
    <t>MODAL
PEMBELIAN</t>
  </si>
  <si>
    <t>TOTAL 
PENJUALAN</t>
  </si>
  <si>
    <t>LABA</t>
  </si>
  <si>
    <t>BONUS 
KARYAWAN</t>
  </si>
  <si>
    <t>SL-01</t>
  </si>
  <si>
    <t>KA-01</t>
  </si>
  <si>
    <t>BL-02</t>
  </si>
  <si>
    <t>KK-04</t>
  </si>
  <si>
    <t>MC-05</t>
  </si>
  <si>
    <t>SL-02</t>
  </si>
  <si>
    <t>BL-01</t>
  </si>
  <si>
    <t>KK-03</t>
  </si>
  <si>
    <t>MC-03</t>
  </si>
  <si>
    <t>KK-05</t>
  </si>
  <si>
    <t>NILAI TOTAL</t>
  </si>
  <si>
    <t>Tabel 1</t>
  </si>
  <si>
    <t>Tabel 2</t>
  </si>
  <si>
    <t>NAMA 
BARANG</t>
  </si>
  <si>
    <t>KODE MERK</t>
  </si>
  <si>
    <t>SL</t>
  </si>
  <si>
    <t>SETRIKA</t>
  </si>
  <si>
    <t>NATIONAL</t>
  </si>
  <si>
    <t>PHILIPS</t>
  </si>
  <si>
    <t>LG</t>
  </si>
  <si>
    <t>SAMSUNG</t>
  </si>
  <si>
    <t>KA</t>
  </si>
  <si>
    <t>KIPAS ANGIN</t>
  </si>
  <si>
    <t>BL</t>
  </si>
  <si>
    <t>BLENDER</t>
  </si>
  <si>
    <t>KK</t>
  </si>
  <si>
    <t xml:space="preserve">KULKAS </t>
  </si>
  <si>
    <t>MC</t>
  </si>
  <si>
    <t>MESIN CUCI</t>
  </si>
  <si>
    <t>IF GANDA</t>
  </si>
  <si>
    <t>Nama</t>
  </si>
  <si>
    <t>Jabatan</t>
  </si>
  <si>
    <t>Gaji</t>
  </si>
  <si>
    <t>Tunjangan</t>
  </si>
  <si>
    <t>Total gaji</t>
  </si>
  <si>
    <t>Pajak</t>
  </si>
  <si>
    <t>Udin</t>
  </si>
  <si>
    <t>Staff</t>
  </si>
  <si>
    <t>Aqil</t>
  </si>
  <si>
    <t>Operator</t>
  </si>
  <si>
    <t>Ahmad</t>
  </si>
  <si>
    <t>Manager</t>
  </si>
  <si>
    <t>Ata</t>
  </si>
  <si>
    <t>Daimal</t>
  </si>
  <si>
    <t>Ali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</si>
</sst>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Rp]#,##0"/>
    <numFmt numFmtId="165" formatCode="[$Rp-421]#,##0.00"/>
    <numFmt numFmtId="166" formatCode="&quot;RP&quot;#,##0"/>
  </numFmts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theme="1"/>
      <name val="&quot;Google Sans Mono&quot;"/>
    </font>
    <font>
      <sz val="9.0"/>
      <color rgb="FF000000"/>
      <name val="&quot;Google Sans Mono&quot;"/>
    </font>
    <font>
      <sz val="9.0"/>
      <color theme="1"/>
      <name val="Arial"/>
      <scheme val="minor"/>
    </font>
    <font>
      <b/>
      <sz val="13.0"/>
      <color rgb="FFFF0000"/>
      <name val="Arial"/>
      <scheme val="minor"/>
    </font>
    <font>
      <b/>
      <sz val="12.0"/>
      <color rgb="FFCC0000"/>
      <name val="Arial"/>
      <scheme val="minor"/>
    </font>
    <font>
      <b/>
      <sz val="12.0"/>
      <color theme="1"/>
      <name val="Arial"/>
      <scheme val="minor"/>
    </font>
    <font>
      <b/>
      <sz val="11.0"/>
      <color theme="1"/>
      <name val="Arial"/>
      <scheme val="minor"/>
    </font>
    <font>
      <b/>
      <sz val="11.0"/>
      <color rgb="FF000000"/>
      <name val="Arial"/>
      <scheme val="minor"/>
    </font>
    <font>
      <sz val="400.0"/>
      <color theme="1"/>
      <name val="Arial"/>
      <scheme val="minor"/>
    </font>
    <font>
      <b/>
      <sz val="20.0"/>
      <color rgb="FFFF0000"/>
      <name val="Arial"/>
      <scheme val="minor"/>
    </font>
    <font>
      <b/>
      <sz val="12.0"/>
      <color rgb="FFFF0000"/>
      <name val="Arial"/>
      <scheme val="minor"/>
    </font>
    <font>
      <sz val="12.0"/>
      <color theme="1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  <font>
      <b/>
      <sz val="12.0"/>
      <color rgb="FF4A86E8"/>
      <name val="Arial"/>
      <scheme val="minor"/>
    </font>
    <font>
      <sz val="100.0"/>
      <color theme="1"/>
      <name val="Arial"/>
      <scheme val="minor"/>
    </font>
    <font>
      <color theme="1"/>
      <name val="Arial"/>
    </font>
    <font/>
  </fonts>
  <fills count="10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6B26B"/>
        <bgColor rgb="FFF6B26B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9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readingOrder="0"/>
    </xf>
    <xf borderId="1" fillId="3" fontId="3" numFmtId="0" xfId="0" applyAlignment="1" applyBorder="1" applyFill="1" applyFont="1">
      <alignment horizontal="left"/>
    </xf>
    <xf borderId="1" fillId="0" fontId="4" numFmtId="0" xfId="0" applyAlignment="1" applyBorder="1" applyFont="1">
      <alignment horizontal="left"/>
    </xf>
    <xf borderId="1" fillId="2" fontId="1" numFmtId="0" xfId="0" applyAlignment="1" applyBorder="1" applyFont="1">
      <alignment readingOrder="0"/>
    </xf>
    <xf borderId="1" fillId="0" fontId="1" numFmtId="0" xfId="0" applyAlignment="1" applyBorder="1" applyFont="1">
      <alignment horizontal="left" readingOrder="0"/>
    </xf>
    <xf borderId="1" fillId="3" fontId="3" numFmtId="0" xfId="0" applyAlignment="1" applyBorder="1" applyFont="1">
      <alignment horizontal="left"/>
    </xf>
    <xf borderId="1" fillId="0" fontId="1" numFmtId="0" xfId="0" applyAlignment="1" applyBorder="1" applyFont="1">
      <alignment horizontal="right" readingOrder="0"/>
    </xf>
    <xf borderId="0" fillId="0" fontId="5" numFmtId="0" xfId="0" applyAlignment="1" applyFont="1">
      <alignment readingOrder="0"/>
    </xf>
    <xf borderId="1" fillId="4" fontId="1" numFmtId="0" xfId="0" applyAlignment="1" applyBorder="1" applyFill="1" applyFont="1">
      <alignment horizontal="center" readingOrder="0"/>
    </xf>
    <xf borderId="0" fillId="0" fontId="6" numFmtId="0" xfId="0" applyAlignment="1" applyFont="1">
      <alignment readingOrder="0"/>
    </xf>
    <xf borderId="1" fillId="5" fontId="7" numFmtId="0" xfId="0" applyAlignment="1" applyBorder="1" applyFill="1" applyFont="1">
      <alignment horizontal="center" readingOrder="0"/>
    </xf>
    <xf borderId="1" fillId="0" fontId="8" numFmtId="0" xfId="0" applyAlignment="1" applyBorder="1" applyFont="1">
      <alignment horizontal="center" readingOrder="0"/>
    </xf>
    <xf borderId="1" fillId="0" fontId="8" numFmtId="164" xfId="0" applyAlignment="1" applyBorder="1" applyFont="1" applyNumberFormat="1">
      <alignment readingOrder="0"/>
    </xf>
    <xf borderId="1" fillId="6" fontId="7" numFmtId="0" xfId="0" applyAlignment="1" applyBorder="1" applyFill="1" applyFont="1">
      <alignment horizontal="center" readingOrder="0"/>
    </xf>
    <xf borderId="1" fillId="6" fontId="8" numFmtId="0" xfId="0" applyAlignment="1" applyBorder="1" applyFont="1">
      <alignment horizontal="center" readingOrder="0"/>
    </xf>
    <xf borderId="1" fillId="0" fontId="8" numFmtId="0" xfId="0" applyAlignment="1" applyBorder="1" applyFont="1">
      <alignment readingOrder="0"/>
    </xf>
    <xf borderId="1" fillId="0" fontId="8" numFmtId="0" xfId="0" applyBorder="1" applyFont="1"/>
    <xf borderId="1" fillId="3" fontId="9" numFmtId="164" xfId="0" applyAlignment="1" applyBorder="1" applyFont="1" applyNumberFormat="1">
      <alignment horizontal="left"/>
    </xf>
    <xf borderId="1" fillId="0" fontId="1" numFmtId="164" xfId="0" applyBorder="1" applyFont="1" applyNumberFormat="1"/>
    <xf borderId="0" fillId="0" fontId="10" numFmtId="0" xfId="0" applyFont="1"/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1" fillId="5" fontId="13" numFmtId="0" xfId="0" applyAlignment="1" applyBorder="1" applyFont="1">
      <alignment readingOrder="0"/>
    </xf>
    <xf borderId="1" fillId="0" fontId="14" numFmtId="0" xfId="0" applyAlignment="1" applyBorder="1" applyFont="1">
      <alignment horizontal="center" readingOrder="0"/>
    </xf>
    <xf borderId="0" fillId="0" fontId="14" numFmtId="0" xfId="0" applyAlignment="1" applyFont="1">
      <alignment horizontal="center" readingOrder="0"/>
    </xf>
    <xf borderId="1" fillId="5" fontId="14" numFmtId="0" xfId="0" applyAlignment="1" applyBorder="1" applyFont="1">
      <alignment horizontal="center" readingOrder="0"/>
    </xf>
    <xf borderId="1" fillId="6" fontId="14" numFmtId="0" xfId="0" applyAlignment="1" applyBorder="1" applyFont="1">
      <alignment horizontal="center" readingOrder="0"/>
    </xf>
    <xf borderId="1" fillId="6" fontId="15" numFmtId="0" xfId="0" applyAlignment="1" applyBorder="1" applyFont="1">
      <alignment horizontal="center" readingOrder="0"/>
    </xf>
    <xf borderId="1" fillId="0" fontId="15" numFmtId="0" xfId="0" applyAlignment="1" applyBorder="1" applyFont="1">
      <alignment readingOrder="0"/>
    </xf>
    <xf borderId="1" fillId="0" fontId="15" numFmtId="0" xfId="0" applyAlignment="1" applyBorder="1" applyFont="1">
      <alignment horizontal="center" readingOrder="0"/>
    </xf>
    <xf borderId="1" fillId="3" fontId="15" numFmtId="0" xfId="0" applyAlignment="1" applyBorder="1" applyFont="1">
      <alignment horizontal="center"/>
    </xf>
    <xf borderId="1" fillId="3" fontId="16" numFmtId="0" xfId="0" applyAlignment="1" applyBorder="1" applyFont="1">
      <alignment horizontal="left"/>
    </xf>
    <xf borderId="0" fillId="0" fontId="17" numFmtId="0" xfId="0" applyAlignment="1" applyFont="1">
      <alignment horizontal="center" readingOrder="0"/>
    </xf>
    <xf borderId="0" fillId="0" fontId="18" numFmtId="0" xfId="0" applyAlignment="1" applyFont="1">
      <alignment readingOrder="0"/>
    </xf>
    <xf borderId="1" fillId="7" fontId="1" numFmtId="0" xfId="0" applyAlignment="1" applyBorder="1" applyFill="1" applyFont="1">
      <alignment readingOrder="0"/>
    </xf>
    <xf borderId="0" fillId="0" fontId="1" numFmtId="14" xfId="0" applyFont="1" applyNumberFormat="1"/>
    <xf borderId="1" fillId="7" fontId="1" numFmtId="0" xfId="0" applyAlignment="1" applyBorder="1" applyFont="1">
      <alignment horizontal="center" readingOrder="0"/>
    </xf>
    <xf borderId="1" fillId="0" fontId="1" numFmtId="165" xfId="0" applyAlignment="1" applyBorder="1" applyFont="1" applyNumberFormat="1">
      <alignment readingOrder="0"/>
    </xf>
    <xf borderId="1" fillId="0" fontId="1" numFmtId="165" xfId="0" applyBorder="1" applyFont="1" applyNumberFormat="1"/>
    <xf borderId="1" fillId="0" fontId="19" numFmtId="165" xfId="0" applyAlignment="1" applyBorder="1" applyFont="1" applyNumberFormat="1">
      <alignment vertical="bottom"/>
    </xf>
    <xf borderId="1" fillId="6" fontId="19" numFmtId="165" xfId="0" applyAlignment="1" applyBorder="1" applyFont="1" applyNumberFormat="1">
      <alignment vertical="bottom"/>
    </xf>
    <xf borderId="2" fillId="7" fontId="1" numFmtId="0" xfId="0" applyAlignment="1" applyBorder="1" applyFont="1">
      <alignment horizontal="center" readingOrder="0"/>
    </xf>
    <xf borderId="3" fillId="0" fontId="20" numFmtId="0" xfId="0" applyBorder="1" applyFont="1"/>
    <xf borderId="4" fillId="0" fontId="20" numFmtId="0" xfId="0" applyBorder="1" applyFont="1"/>
    <xf borderId="0" fillId="0" fontId="14" numFmtId="0" xfId="0" applyAlignment="1" applyFont="1">
      <alignment readingOrder="0"/>
    </xf>
    <xf borderId="1" fillId="8" fontId="15" numFmtId="0" xfId="0" applyAlignment="1" applyBorder="1" applyFill="1" applyFont="1">
      <alignment horizontal="center" readingOrder="0"/>
    </xf>
    <xf borderId="1" fillId="8" fontId="14" numFmtId="0" xfId="0" applyAlignment="1" applyBorder="1" applyFont="1">
      <alignment horizontal="center" readingOrder="0"/>
    </xf>
    <xf borderId="1" fillId="9" fontId="1" numFmtId="166" xfId="0" applyBorder="1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6" max="6" width="14.88"/>
  </cols>
  <sheetData>
    <row r="1">
      <c r="A1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>
      <c r="A4" s="3">
        <v>1.0</v>
      </c>
      <c r="B4" s="4" t="s">
        <v>10</v>
      </c>
      <c r="C4" s="3">
        <v>2.0</v>
      </c>
      <c r="D4" s="5" t="str">
        <f t="shared" ref="D4:D10" si="1">IF(C4=1,"AVANZA",IF(C4=2,"XENIA","APV"))</f>
        <v>XENIA</v>
      </c>
      <c r="E4" s="5">
        <f t="shared" ref="E4:E10" si="2">IF(C4=1,200000000,IF(C4=2,250000000,400000000))</f>
        <v>250000000</v>
      </c>
      <c r="F4" s="3" t="s">
        <v>11</v>
      </c>
      <c r="G4" s="6">
        <f t="shared" ref="G4:G10" si="3">IF(F4="KREDIT",0%,10%)</f>
        <v>0</v>
      </c>
      <c r="H4" s="7" t="s">
        <v>12</v>
      </c>
      <c r="I4" s="8">
        <f t="shared" ref="I4:I10" si="4">E4*(1-G4)</f>
        <v>250000000</v>
      </c>
    </row>
    <row r="5">
      <c r="A5" s="3">
        <v>2.0</v>
      </c>
      <c r="B5" s="4" t="s">
        <v>13</v>
      </c>
      <c r="C5" s="3">
        <v>1.0</v>
      </c>
      <c r="D5" s="5" t="str">
        <f t="shared" si="1"/>
        <v>AVANZA</v>
      </c>
      <c r="E5" s="5">
        <f t="shared" si="2"/>
        <v>200000000</v>
      </c>
      <c r="F5" s="3" t="s">
        <v>14</v>
      </c>
      <c r="G5" s="6">
        <f t="shared" si="3"/>
        <v>0.1</v>
      </c>
      <c r="H5" s="5" t="str">
        <f t="shared" ref="H5:H6" si="5">IF(C5=1,"AC",IF(C5=2,"TV","KULKAS"))</f>
        <v>AC</v>
      </c>
      <c r="I5" s="8">
        <f t="shared" si="4"/>
        <v>180000000</v>
      </c>
    </row>
    <row r="6">
      <c r="A6" s="3">
        <v>3.0</v>
      </c>
      <c r="B6" s="4" t="s">
        <v>15</v>
      </c>
      <c r="C6" s="3">
        <v>3.0</v>
      </c>
      <c r="D6" s="5" t="str">
        <f t="shared" si="1"/>
        <v>APV</v>
      </c>
      <c r="E6" s="5">
        <f t="shared" si="2"/>
        <v>400000000</v>
      </c>
      <c r="F6" s="3" t="s">
        <v>14</v>
      </c>
      <c r="G6" s="6">
        <f t="shared" si="3"/>
        <v>0.1</v>
      </c>
      <c r="H6" s="5" t="str">
        <f t="shared" si="5"/>
        <v>KULKAS</v>
      </c>
      <c r="I6" s="8">
        <f t="shared" si="4"/>
        <v>360000000</v>
      </c>
    </row>
    <row r="7">
      <c r="A7" s="3">
        <v>4.0</v>
      </c>
      <c r="B7" s="4" t="s">
        <v>16</v>
      </c>
      <c r="C7" s="3">
        <v>1.0</v>
      </c>
      <c r="D7" s="5" t="str">
        <f t="shared" si="1"/>
        <v>AVANZA</v>
      </c>
      <c r="E7" s="5">
        <f t="shared" si="2"/>
        <v>200000000</v>
      </c>
      <c r="F7" s="3" t="s">
        <v>11</v>
      </c>
      <c r="G7" s="6">
        <f t="shared" si="3"/>
        <v>0</v>
      </c>
      <c r="H7" s="4" t="s">
        <v>12</v>
      </c>
      <c r="I7" s="8">
        <f t="shared" si="4"/>
        <v>200000000</v>
      </c>
    </row>
    <row r="8">
      <c r="A8" s="3">
        <v>5.0</v>
      </c>
      <c r="B8" s="4" t="s">
        <v>17</v>
      </c>
      <c r="C8" s="3">
        <v>2.0</v>
      </c>
      <c r="D8" s="5" t="str">
        <f t="shared" si="1"/>
        <v>XENIA</v>
      </c>
      <c r="E8" s="5">
        <f t="shared" si="2"/>
        <v>250000000</v>
      </c>
      <c r="F8" s="3" t="s">
        <v>11</v>
      </c>
      <c r="G8" s="6">
        <f t="shared" si="3"/>
        <v>0</v>
      </c>
      <c r="H8" s="5" t="str">
        <f t="shared" ref="H8:H10" si="6">IF(C8=1,"AC",IF(C8=2,"TV","KULKAS"))</f>
        <v>TV</v>
      </c>
      <c r="I8" s="8">
        <f t="shared" si="4"/>
        <v>250000000</v>
      </c>
    </row>
    <row r="9">
      <c r="A9" s="3">
        <v>6.0</v>
      </c>
      <c r="B9" s="4" t="s">
        <v>18</v>
      </c>
      <c r="C9" s="3">
        <v>3.0</v>
      </c>
      <c r="D9" s="5" t="str">
        <f t="shared" si="1"/>
        <v>APV</v>
      </c>
      <c r="E9" s="5">
        <f t="shared" si="2"/>
        <v>400000000</v>
      </c>
      <c r="F9" s="3" t="s">
        <v>19</v>
      </c>
      <c r="G9" s="6">
        <f t="shared" si="3"/>
        <v>0.1</v>
      </c>
      <c r="H9" s="5" t="str">
        <f t="shared" si="6"/>
        <v>KULKAS</v>
      </c>
      <c r="I9" s="8">
        <f t="shared" si="4"/>
        <v>360000000</v>
      </c>
    </row>
    <row r="10">
      <c r="A10" s="3">
        <v>7.0</v>
      </c>
      <c r="B10" s="4" t="s">
        <v>20</v>
      </c>
      <c r="C10" s="3">
        <v>1.0</v>
      </c>
      <c r="D10" s="5" t="str">
        <f t="shared" si="1"/>
        <v>AVANZA</v>
      </c>
      <c r="E10" s="5">
        <f t="shared" si="2"/>
        <v>200000000</v>
      </c>
      <c r="F10" s="3" t="s">
        <v>11</v>
      </c>
      <c r="G10" s="6">
        <f t="shared" si="3"/>
        <v>0</v>
      </c>
      <c r="H10" s="5" t="str">
        <f t="shared" si="6"/>
        <v>AC</v>
      </c>
      <c r="I10" s="8">
        <f t="shared" si="4"/>
        <v>200000000</v>
      </c>
    </row>
    <row r="11">
      <c r="H11" s="4" t="s">
        <v>21</v>
      </c>
      <c r="I11" s="9">
        <f>SUM(I4,I10)</f>
        <v>450000000</v>
      </c>
    </row>
    <row r="12">
      <c r="H12" s="4" t="s">
        <v>22</v>
      </c>
      <c r="I12" s="9">
        <f>I11*2.5%</f>
        <v>11250000</v>
      </c>
    </row>
    <row r="13">
      <c r="B13" s="10" t="s">
        <v>23</v>
      </c>
      <c r="C13" s="10" t="s">
        <v>24</v>
      </c>
      <c r="H13" s="11" t="s">
        <v>25</v>
      </c>
      <c r="I13" s="9">
        <f>I11+I12</f>
        <v>461250000</v>
      </c>
    </row>
    <row r="14">
      <c r="B14" s="4" t="s">
        <v>26</v>
      </c>
      <c r="C14" s="12">
        <f t="shared" ref="C14:C16" si="7">SUMIF(D4:D10,"AVANZA",I4:I10)</f>
        <v>580000000</v>
      </c>
      <c r="G14" s="5"/>
      <c r="H14" s="13" t="s">
        <v>27</v>
      </c>
      <c r="I14" s="12">
        <f>AVERAGE(I4,I10)</f>
        <v>225000000</v>
      </c>
    </row>
    <row r="15">
      <c r="B15" s="4" t="s">
        <v>28</v>
      </c>
      <c r="C15" s="12">
        <f t="shared" si="7"/>
        <v>580000000</v>
      </c>
    </row>
    <row r="16">
      <c r="B16" s="4" t="s">
        <v>29</v>
      </c>
      <c r="C16" s="12">
        <f t="shared" si="7"/>
        <v>400000000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3" max="3" width="17.88"/>
    <col customWidth="1" min="5" max="5" width="14.5"/>
  </cols>
  <sheetData>
    <row r="1">
      <c r="E1" s="14" t="s">
        <v>30</v>
      </c>
    </row>
    <row r="3">
      <c r="B3" s="15" t="s">
        <v>31</v>
      </c>
      <c r="C3" s="15" t="s">
        <v>32</v>
      </c>
      <c r="D3" s="15" t="s">
        <v>33</v>
      </c>
      <c r="E3" s="15" t="s">
        <v>34</v>
      </c>
      <c r="F3" s="15" t="s">
        <v>35</v>
      </c>
    </row>
    <row r="4">
      <c r="B4" s="4" t="s">
        <v>36</v>
      </c>
      <c r="C4" s="4" t="s">
        <v>37</v>
      </c>
      <c r="D4" s="4" t="str">
        <f t="shared" ref="D4:D9" si="1">IF(MID(B4,7,1)="L","PUTRA","PUTRI")</f>
        <v>PUTRA</v>
      </c>
      <c r="E4" s="5" t="str">
        <f>IF(MID(B4,3,1)=301,"Microsoft Office",IF(MID(B5,3,1)=302,"Visual Basic","Visual Foxpro"))</f>
        <v>Visual Foxpro</v>
      </c>
      <c r="F4" s="5"/>
    </row>
    <row r="5">
      <c r="B5" s="4" t="s">
        <v>38</v>
      </c>
      <c r="C5" s="4" t="s">
        <v>39</v>
      </c>
      <c r="D5" s="4" t="str">
        <f t="shared" si="1"/>
        <v>PUTRI</v>
      </c>
      <c r="E5" s="5"/>
      <c r="F5" s="5"/>
    </row>
    <row r="6">
      <c r="B6" s="4" t="s">
        <v>40</v>
      </c>
      <c r="C6" s="4" t="s">
        <v>41</v>
      </c>
      <c r="D6" s="4" t="str">
        <f t="shared" si="1"/>
        <v>PUTRA</v>
      </c>
      <c r="E6" s="5"/>
      <c r="F6" s="5"/>
    </row>
    <row r="7">
      <c r="B7" s="4" t="s">
        <v>42</v>
      </c>
      <c r="C7" s="4" t="s">
        <v>43</v>
      </c>
      <c r="D7" s="4" t="str">
        <f t="shared" si="1"/>
        <v>PUTRA</v>
      </c>
      <c r="E7" s="5"/>
      <c r="F7" s="5"/>
    </row>
    <row r="8">
      <c r="B8" s="4" t="s">
        <v>44</v>
      </c>
      <c r="C8" s="4" t="s">
        <v>45</v>
      </c>
      <c r="D8" s="4" t="str">
        <f t="shared" si="1"/>
        <v>PUTRI</v>
      </c>
      <c r="E8" s="5"/>
      <c r="F8" s="5"/>
    </row>
    <row r="9">
      <c r="B9" s="4" t="s">
        <v>46</v>
      </c>
      <c r="C9" s="4" t="s">
        <v>47</v>
      </c>
      <c r="D9" s="4" t="str">
        <f t="shared" si="1"/>
        <v>PUTRA</v>
      </c>
      <c r="E9" s="5"/>
      <c r="F9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25"/>
    <col customWidth="1" min="3" max="3" width="17.0"/>
    <col customWidth="1" min="4" max="4" width="21.5"/>
    <col customWidth="1" min="6" max="6" width="14.63"/>
    <col customWidth="1" min="7" max="7" width="21.13"/>
  </cols>
  <sheetData>
    <row r="2">
      <c r="C2" s="16" t="s">
        <v>48</v>
      </c>
    </row>
    <row r="3">
      <c r="B3" s="17" t="s">
        <v>49</v>
      </c>
      <c r="C3" s="17" t="s">
        <v>50</v>
      </c>
      <c r="D3" s="17" t="s">
        <v>51</v>
      </c>
    </row>
    <row r="4">
      <c r="B4" s="18" t="s">
        <v>52</v>
      </c>
      <c r="C4" s="18" t="s">
        <v>53</v>
      </c>
      <c r="D4" s="19">
        <v>1200000.0</v>
      </c>
    </row>
    <row r="5">
      <c r="B5" s="18" t="s">
        <v>54</v>
      </c>
      <c r="C5" s="18" t="s">
        <v>55</v>
      </c>
      <c r="D5" s="19">
        <v>1100000.0</v>
      </c>
    </row>
    <row r="6">
      <c r="B6" s="18" t="s">
        <v>56</v>
      </c>
      <c r="C6" s="18" t="s">
        <v>57</v>
      </c>
      <c r="D6" s="19">
        <v>1250000.0</v>
      </c>
    </row>
    <row r="7">
      <c r="B7" s="18" t="s">
        <v>58</v>
      </c>
      <c r="C7" s="18" t="s">
        <v>59</v>
      </c>
      <c r="D7" s="19">
        <v>1500000.0</v>
      </c>
    </row>
    <row r="8">
      <c r="B8" s="18" t="s">
        <v>60</v>
      </c>
      <c r="C8" s="18" t="s">
        <v>61</v>
      </c>
      <c r="D8" s="19">
        <v>900000.0</v>
      </c>
    </row>
    <row r="12">
      <c r="D12" s="16" t="s">
        <v>62</v>
      </c>
    </row>
    <row r="13">
      <c r="B13" s="20" t="s">
        <v>63</v>
      </c>
      <c r="C13" s="20" t="s">
        <v>64</v>
      </c>
      <c r="D13" s="21" t="s">
        <v>49</v>
      </c>
      <c r="E13" s="20" t="s">
        <v>65</v>
      </c>
      <c r="F13" s="21" t="s">
        <v>51</v>
      </c>
      <c r="G13" s="20" t="s">
        <v>66</v>
      </c>
      <c r="H13" s="20" t="s">
        <v>7</v>
      </c>
    </row>
    <row r="14">
      <c r="B14" s="22" t="s">
        <v>67</v>
      </c>
      <c r="C14" s="18">
        <v>10.0</v>
      </c>
      <c r="D14" s="18" t="s">
        <v>52</v>
      </c>
      <c r="E14" s="23" t="str">
        <f t="shared" ref="E14:E18" si="1">VLOOKUP($D$14:$D$18,$B$4:$D$8,2,false)</f>
        <v>SANYO</v>
      </c>
      <c r="F14" s="24">
        <f t="shared" ref="F14:F18" si="2">VLOOKUP(D14,$B$4:$D$8,3,FALSE)</f>
        <v>1200000</v>
      </c>
      <c r="G14" s="25">
        <f t="shared" ref="G14:G18" si="3">C14*F14</f>
        <v>12000000</v>
      </c>
      <c r="H14" s="12" t="str">
        <f t="shared" ref="H14:H18" si="4">IF(G14&gt;15000000,"Remot televisi","Kaos")</f>
        <v>Kaos</v>
      </c>
    </row>
    <row r="15">
      <c r="B15" s="22" t="s">
        <v>68</v>
      </c>
      <c r="C15" s="18">
        <v>25.0</v>
      </c>
      <c r="D15" s="18" t="s">
        <v>56</v>
      </c>
      <c r="E15" s="23" t="str">
        <f t="shared" si="1"/>
        <v>POLITRON</v>
      </c>
      <c r="F15" s="24">
        <f t="shared" si="2"/>
        <v>1250000</v>
      </c>
      <c r="G15" s="25">
        <f t="shared" si="3"/>
        <v>31250000</v>
      </c>
      <c r="H15" s="12" t="str">
        <f t="shared" si="4"/>
        <v>Remot televisi</v>
      </c>
    </row>
    <row r="16">
      <c r="B16" s="22" t="s">
        <v>69</v>
      </c>
      <c r="C16" s="18">
        <v>15.0</v>
      </c>
      <c r="D16" s="18" t="s">
        <v>58</v>
      </c>
      <c r="E16" s="23" t="str">
        <f t="shared" si="1"/>
        <v>TOSHIBA</v>
      </c>
      <c r="F16" s="24">
        <f t="shared" si="2"/>
        <v>1500000</v>
      </c>
      <c r="G16" s="25">
        <f t="shared" si="3"/>
        <v>22500000</v>
      </c>
      <c r="H16" s="12" t="str">
        <f t="shared" si="4"/>
        <v>Remot televisi</v>
      </c>
    </row>
    <row r="17">
      <c r="B17" s="22" t="s">
        <v>70</v>
      </c>
      <c r="C17" s="18">
        <v>20.0</v>
      </c>
      <c r="D17" s="18" t="s">
        <v>54</v>
      </c>
      <c r="E17" s="23" t="str">
        <f t="shared" si="1"/>
        <v>JVC</v>
      </c>
      <c r="F17" s="24">
        <f t="shared" si="2"/>
        <v>1100000</v>
      </c>
      <c r="G17" s="25">
        <f t="shared" si="3"/>
        <v>22000000</v>
      </c>
      <c r="H17" s="12" t="str">
        <f t="shared" si="4"/>
        <v>Remot televisi</v>
      </c>
    </row>
    <row r="18">
      <c r="B18" s="22" t="s">
        <v>71</v>
      </c>
      <c r="C18" s="18">
        <v>10.0</v>
      </c>
      <c r="D18" s="18" t="s">
        <v>54</v>
      </c>
      <c r="E18" s="23" t="str">
        <f t="shared" si="1"/>
        <v>JVC</v>
      </c>
      <c r="F18" s="24">
        <f t="shared" si="2"/>
        <v>1100000</v>
      </c>
      <c r="G18" s="25">
        <f t="shared" si="3"/>
        <v>11000000</v>
      </c>
      <c r="H18" s="12" t="str">
        <f t="shared" si="4"/>
        <v>Kaos</v>
      </c>
    </row>
    <row r="19">
      <c r="D19" s="26"/>
    </row>
    <row r="20">
      <c r="D20" s="26"/>
    </row>
    <row r="21">
      <c r="D21" s="2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13"/>
    <col customWidth="1" min="3" max="3" width="17.38"/>
    <col customWidth="1" min="4" max="4" width="15.0"/>
    <col customWidth="1" min="5" max="5" width="15.75"/>
    <col customWidth="1" min="6" max="6" width="17.38"/>
    <col customWidth="1" min="7" max="7" width="19.38"/>
  </cols>
  <sheetData>
    <row r="2">
      <c r="E2" s="28" t="s">
        <v>72</v>
      </c>
    </row>
    <row r="4">
      <c r="E4" s="29" t="s">
        <v>48</v>
      </c>
    </row>
    <row r="5">
      <c r="B5" s="30" t="s">
        <v>49</v>
      </c>
      <c r="C5" s="31" t="s">
        <v>52</v>
      </c>
      <c r="D5" s="31" t="s">
        <v>54</v>
      </c>
      <c r="E5" s="31" t="s">
        <v>56</v>
      </c>
      <c r="F5" s="31" t="s">
        <v>58</v>
      </c>
      <c r="G5" s="31" t="s">
        <v>60</v>
      </c>
      <c r="H5" s="32"/>
    </row>
    <row r="6">
      <c r="B6" s="33" t="s">
        <v>73</v>
      </c>
      <c r="C6" s="31" t="s">
        <v>53</v>
      </c>
      <c r="D6" s="31" t="s">
        <v>55</v>
      </c>
      <c r="E6" s="31" t="s">
        <v>57</v>
      </c>
      <c r="F6" s="31" t="s">
        <v>74</v>
      </c>
      <c r="G6" s="31" t="s">
        <v>61</v>
      </c>
    </row>
    <row r="7">
      <c r="B7" s="33" t="s">
        <v>51</v>
      </c>
      <c r="C7" s="4">
        <v>1200000.0</v>
      </c>
      <c r="D7" s="4">
        <v>1100000.0</v>
      </c>
      <c r="E7" s="4">
        <v>1250000.0</v>
      </c>
      <c r="F7" s="4">
        <v>1500000.0</v>
      </c>
      <c r="G7" s="4">
        <v>900000.0</v>
      </c>
    </row>
    <row r="10">
      <c r="E10" s="29" t="s">
        <v>62</v>
      </c>
    </row>
    <row r="11">
      <c r="B11" s="34" t="s">
        <v>63</v>
      </c>
      <c r="C11" s="34" t="s">
        <v>64</v>
      </c>
      <c r="D11" s="35" t="s">
        <v>49</v>
      </c>
      <c r="E11" s="34" t="s">
        <v>65</v>
      </c>
      <c r="F11" s="35" t="s">
        <v>51</v>
      </c>
      <c r="G11" s="34" t="s">
        <v>66</v>
      </c>
      <c r="H11" s="34" t="s">
        <v>7</v>
      </c>
    </row>
    <row r="12">
      <c r="B12" s="36" t="s">
        <v>67</v>
      </c>
      <c r="C12" s="37">
        <v>10.0</v>
      </c>
      <c r="D12" s="37" t="s">
        <v>52</v>
      </c>
      <c r="E12" s="38" t="str">
        <f>HLOOKUP(D12:D16,C5:C6,2,false)</f>
        <v>SANYO</v>
      </c>
      <c r="F12" s="39">
        <f t="shared" ref="F12:F16" si="1">HLOOKUP(D12,$B$5:$G$7,3,FALSE)</f>
        <v>1200000</v>
      </c>
      <c r="G12" s="5">
        <f t="shared" ref="G12:G16" si="2">C12*F12</f>
        <v>12000000</v>
      </c>
      <c r="H12" s="12" t="str">
        <f t="shared" ref="H12:H16" si="3">IF(G12&gt;=12000000,"INTERNN ANTENNA","REMOTE")</f>
        <v>INTERNN ANTENNA</v>
      </c>
    </row>
    <row r="13">
      <c r="B13" s="36" t="s">
        <v>68</v>
      </c>
      <c r="C13" s="37">
        <v>25.0</v>
      </c>
      <c r="D13" s="37" t="s">
        <v>56</v>
      </c>
      <c r="E13" s="38" t="str">
        <f>HLOOKUP(D13:D16,E5:E6,2,false)</f>
        <v>POLITRON</v>
      </c>
      <c r="F13" s="39">
        <f t="shared" si="1"/>
        <v>1250000</v>
      </c>
      <c r="G13" s="5">
        <f t="shared" si="2"/>
        <v>31250000</v>
      </c>
      <c r="H13" s="12" t="str">
        <f t="shared" si="3"/>
        <v>INTERNN ANTENNA</v>
      </c>
    </row>
    <row r="14">
      <c r="B14" s="36" t="s">
        <v>69</v>
      </c>
      <c r="C14" s="37">
        <v>15.0</v>
      </c>
      <c r="D14" s="37" t="s">
        <v>58</v>
      </c>
      <c r="E14" s="38" t="str">
        <f>HLOOKUP(D14:D16,F5:F6,2,false)</f>
        <v>TOSHIBA </v>
      </c>
      <c r="F14" s="39">
        <f t="shared" si="1"/>
        <v>1500000</v>
      </c>
      <c r="G14" s="5">
        <f t="shared" si="2"/>
        <v>22500000</v>
      </c>
      <c r="H14" s="12" t="str">
        <f t="shared" si="3"/>
        <v>INTERNN ANTENNA</v>
      </c>
    </row>
    <row r="15">
      <c r="B15" s="36" t="s">
        <v>70</v>
      </c>
      <c r="C15" s="37">
        <v>20.0</v>
      </c>
      <c r="D15" s="37" t="s">
        <v>54</v>
      </c>
      <c r="E15" s="38" t="str">
        <f>HLOOKUP(D15:D16,D5:D6,2,false)</f>
        <v>JVC</v>
      </c>
      <c r="F15" s="39">
        <f t="shared" si="1"/>
        <v>1100000</v>
      </c>
      <c r="G15" s="5">
        <f t="shared" si="2"/>
        <v>22000000</v>
      </c>
      <c r="H15" s="12" t="str">
        <f t="shared" si="3"/>
        <v>INTERNN ANTENNA</v>
      </c>
    </row>
    <row r="16">
      <c r="B16" s="36" t="s">
        <v>71</v>
      </c>
      <c r="C16" s="37">
        <v>10.0</v>
      </c>
      <c r="D16" s="37" t="s">
        <v>54</v>
      </c>
      <c r="E16" s="38" t="str">
        <f>HLOOKUP(D16,D5:D6,2,false)</f>
        <v>JVC</v>
      </c>
      <c r="F16" s="39">
        <f t="shared" si="1"/>
        <v>1100000</v>
      </c>
      <c r="G16" s="5">
        <f t="shared" si="2"/>
        <v>11000000</v>
      </c>
      <c r="H16" s="12" t="str">
        <f t="shared" si="3"/>
        <v>REMOTE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4" max="4" width="17.0"/>
  </cols>
  <sheetData>
    <row r="1">
      <c r="D1" s="40" t="s">
        <v>75</v>
      </c>
    </row>
    <row r="2">
      <c r="C2" s="41"/>
    </row>
    <row r="3">
      <c r="A3" s="42" t="s">
        <v>76</v>
      </c>
      <c r="B3" s="43">
        <f>TODAY()</f>
        <v>45243</v>
      </c>
    </row>
    <row r="4">
      <c r="A4" s="44" t="s">
        <v>77</v>
      </c>
      <c r="B4" s="44" t="s">
        <v>78</v>
      </c>
      <c r="C4" s="44" t="s">
        <v>79</v>
      </c>
      <c r="D4" s="44" t="s">
        <v>80</v>
      </c>
      <c r="E4" s="44" t="s">
        <v>81</v>
      </c>
      <c r="F4" s="44" t="s">
        <v>82</v>
      </c>
      <c r="G4" s="44" t="s">
        <v>83</v>
      </c>
      <c r="H4" s="44" t="s">
        <v>84</v>
      </c>
      <c r="I4" s="44" t="s">
        <v>85</v>
      </c>
      <c r="J4" s="44" t="s">
        <v>86</v>
      </c>
    </row>
    <row r="5">
      <c r="A5" s="3" t="s">
        <v>87</v>
      </c>
      <c r="B5" s="5" t="str">
        <f>vlookup(LEFT(A5,2),nama_barang,2,false)</f>
        <v>SETRIKA</v>
      </c>
      <c r="C5" s="5" t="str">
        <f t="shared" ref="C5:C15" si="1">HLOOKUP(value(RIGHT(A5,2)),E$19:I$20,2,0)</f>
        <v>NATIONAL</v>
      </c>
      <c r="D5" s="45">
        <v>110000.0</v>
      </c>
      <c r="E5" s="46">
        <f t="shared" ref="E5:E15" si="2">D5+25%*D5</f>
        <v>137500</v>
      </c>
      <c r="F5" s="3">
        <v>20.0</v>
      </c>
      <c r="G5" s="47">
        <f t="shared" ref="G5:G15" si="3">F5*D5</f>
        <v>2200000</v>
      </c>
      <c r="H5" s="48">
        <f t="shared" ref="H5:H15" si="4">F5*E5</f>
        <v>2750000</v>
      </c>
      <c r="I5" s="46">
        <f t="shared" ref="I5:I15" si="5">H5-G5</f>
        <v>550000</v>
      </c>
      <c r="J5" s="5">
        <f>IF(16&gt;2000000,16*15%,IF(16&gt;=1000000,16*10%,IF(16&lt;500000,0,IF(16&gt;=500000,16*5%))))</f>
        <v>0</v>
      </c>
    </row>
    <row r="6">
      <c r="A6" s="3" t="s">
        <v>88</v>
      </c>
      <c r="B6" s="5" t="str">
        <f>vlookup(LEFT(A6,2),nama_barang,2,false)</f>
        <v>KIPAS ANGIN</v>
      </c>
      <c r="C6" s="5" t="str">
        <f t="shared" si="1"/>
        <v>NATIONAL</v>
      </c>
      <c r="D6" s="45">
        <v>150000.0</v>
      </c>
      <c r="E6" s="46">
        <f t="shared" si="2"/>
        <v>187500</v>
      </c>
      <c r="F6" s="3">
        <v>12.0</v>
      </c>
      <c r="G6" s="47">
        <f t="shared" si="3"/>
        <v>1800000</v>
      </c>
      <c r="H6" s="48">
        <f t="shared" si="4"/>
        <v>2250000</v>
      </c>
      <c r="I6" s="46">
        <f t="shared" si="5"/>
        <v>450000</v>
      </c>
      <c r="J6" s="5"/>
    </row>
    <row r="7">
      <c r="A7" s="3" t="s">
        <v>89</v>
      </c>
      <c r="B7" s="5" t="str">
        <f>vlookup(LEFT(A7,2),nama_barang,2,false)</f>
        <v>BLENDER</v>
      </c>
      <c r="C7" s="5" t="str">
        <f t="shared" si="1"/>
        <v>PHILIPS</v>
      </c>
      <c r="D7" s="45">
        <v>170000.0</v>
      </c>
      <c r="E7" s="46">
        <f t="shared" si="2"/>
        <v>212500</v>
      </c>
      <c r="F7" s="3">
        <v>15.0</v>
      </c>
      <c r="G7" s="47">
        <f t="shared" si="3"/>
        <v>2550000</v>
      </c>
      <c r="H7" s="48">
        <f t="shared" si="4"/>
        <v>3187500</v>
      </c>
      <c r="I7" s="46">
        <f t="shared" si="5"/>
        <v>637500</v>
      </c>
      <c r="J7" s="5"/>
    </row>
    <row r="8">
      <c r="A8" s="3" t="s">
        <v>90</v>
      </c>
      <c r="B8" s="5" t="str">
        <f>vlookup(LEFT(A8,2),nama_barang,2,false)</f>
        <v>KULKAS </v>
      </c>
      <c r="C8" s="5" t="str">
        <f t="shared" si="1"/>
        <v>TOSHIBA</v>
      </c>
      <c r="D8" s="45">
        <v>1400000.0</v>
      </c>
      <c r="E8" s="46">
        <f t="shared" si="2"/>
        <v>1750000</v>
      </c>
      <c r="F8" s="3">
        <v>5.0</v>
      </c>
      <c r="G8" s="47">
        <f t="shared" si="3"/>
        <v>7000000</v>
      </c>
      <c r="H8" s="48">
        <f t="shared" si="4"/>
        <v>8750000</v>
      </c>
      <c r="I8" s="46">
        <f t="shared" si="5"/>
        <v>1750000</v>
      </c>
      <c r="J8" s="5"/>
    </row>
    <row r="9">
      <c r="A9" s="3" t="s">
        <v>91</v>
      </c>
      <c r="B9" s="5" t="str">
        <f>vlookup(LEFT(A9,2),nama_barang,2,false)</f>
        <v>MESIN CUCI</v>
      </c>
      <c r="C9" s="5" t="str">
        <f t="shared" si="1"/>
        <v>SAMSUNG</v>
      </c>
      <c r="D9" s="45">
        <v>1200000.0</v>
      </c>
      <c r="E9" s="46">
        <f t="shared" si="2"/>
        <v>1500000</v>
      </c>
      <c r="F9" s="3">
        <v>3.0</v>
      </c>
      <c r="G9" s="47">
        <f t="shared" si="3"/>
        <v>3600000</v>
      </c>
      <c r="H9" s="48">
        <f t="shared" si="4"/>
        <v>4500000</v>
      </c>
      <c r="I9" s="46">
        <f t="shared" si="5"/>
        <v>900000</v>
      </c>
      <c r="J9" s="5"/>
    </row>
    <row r="10">
      <c r="A10" s="3" t="s">
        <v>92</v>
      </c>
      <c r="B10" s="5" t="str">
        <f>vlookup(LEFT(A10,2),nama_barang,2,false)</f>
        <v>SETRIKA</v>
      </c>
      <c r="C10" s="5" t="str">
        <f t="shared" si="1"/>
        <v>PHILIPS</v>
      </c>
      <c r="D10" s="45">
        <v>130000.0</v>
      </c>
      <c r="E10" s="46">
        <f t="shared" si="2"/>
        <v>162500</v>
      </c>
      <c r="F10" s="3">
        <v>10.0</v>
      </c>
      <c r="G10" s="47">
        <f t="shared" si="3"/>
        <v>1300000</v>
      </c>
      <c r="H10" s="48">
        <f t="shared" si="4"/>
        <v>1625000</v>
      </c>
      <c r="I10" s="46">
        <f t="shared" si="5"/>
        <v>325000</v>
      </c>
      <c r="J10" s="5"/>
    </row>
    <row r="11">
      <c r="A11" s="3" t="s">
        <v>88</v>
      </c>
      <c r="B11" s="5" t="str">
        <f>vlookup(LEFT(A11,2),nama_barang,2,false)</f>
        <v>KIPAS ANGIN</v>
      </c>
      <c r="C11" s="5" t="str">
        <f t="shared" si="1"/>
        <v>NATIONAL</v>
      </c>
      <c r="D11" s="45">
        <v>120000.0</v>
      </c>
      <c r="E11" s="46">
        <f t="shared" si="2"/>
        <v>150000</v>
      </c>
      <c r="F11" s="3">
        <v>12.0</v>
      </c>
      <c r="G11" s="47">
        <f t="shared" si="3"/>
        <v>1440000</v>
      </c>
      <c r="H11" s="48">
        <f t="shared" si="4"/>
        <v>1800000</v>
      </c>
      <c r="I11" s="46">
        <f t="shared" si="5"/>
        <v>360000</v>
      </c>
      <c r="J11" s="5"/>
    </row>
    <row r="12">
      <c r="A12" s="3" t="s">
        <v>93</v>
      </c>
      <c r="B12" s="5" t="str">
        <f>vlookup(LEFT(A12,2),nama_barang,2,false)</f>
        <v>BLENDER</v>
      </c>
      <c r="C12" s="5" t="str">
        <f t="shared" si="1"/>
        <v>NATIONAL</v>
      </c>
      <c r="D12" s="45">
        <v>110000.0</v>
      </c>
      <c r="E12" s="46">
        <f t="shared" si="2"/>
        <v>137500</v>
      </c>
      <c r="F12" s="3">
        <v>25.0</v>
      </c>
      <c r="G12" s="47">
        <f t="shared" si="3"/>
        <v>2750000</v>
      </c>
      <c r="H12" s="48">
        <f t="shared" si="4"/>
        <v>3437500</v>
      </c>
      <c r="I12" s="46">
        <f t="shared" si="5"/>
        <v>687500</v>
      </c>
      <c r="J12" s="5"/>
    </row>
    <row r="13">
      <c r="A13" s="3" t="s">
        <v>94</v>
      </c>
      <c r="B13" s="5" t="str">
        <f>vlookup(LEFT(A13,2),nama_barang,2,false)</f>
        <v>KULKAS </v>
      </c>
      <c r="C13" s="5" t="str">
        <f t="shared" si="1"/>
        <v>LG</v>
      </c>
      <c r="D13" s="45">
        <v>1000000.0</v>
      </c>
      <c r="E13" s="46">
        <f t="shared" si="2"/>
        <v>1250000</v>
      </c>
      <c r="F13" s="3">
        <v>10.0</v>
      </c>
      <c r="G13" s="47">
        <f t="shared" si="3"/>
        <v>10000000</v>
      </c>
      <c r="H13" s="48">
        <f t="shared" si="4"/>
        <v>12500000</v>
      </c>
      <c r="I13" s="46">
        <f t="shared" si="5"/>
        <v>2500000</v>
      </c>
      <c r="J13" s="5"/>
    </row>
    <row r="14">
      <c r="A14" s="3" t="s">
        <v>95</v>
      </c>
      <c r="B14" s="5" t="str">
        <f>vlookup(LEFT(A14,2),nama_barang,2,false)</f>
        <v>MESIN CUCI</v>
      </c>
      <c r="C14" s="5" t="str">
        <f t="shared" si="1"/>
        <v>LG</v>
      </c>
      <c r="D14" s="45">
        <v>900000.0</v>
      </c>
      <c r="E14" s="46">
        <f t="shared" si="2"/>
        <v>1125000</v>
      </c>
      <c r="F14" s="3">
        <v>8.0</v>
      </c>
      <c r="G14" s="47">
        <f t="shared" si="3"/>
        <v>7200000</v>
      </c>
      <c r="H14" s="48">
        <f t="shared" si="4"/>
        <v>9000000</v>
      </c>
      <c r="I14" s="46">
        <f t="shared" si="5"/>
        <v>1800000</v>
      </c>
      <c r="J14" s="5"/>
    </row>
    <row r="15">
      <c r="A15" s="3" t="s">
        <v>96</v>
      </c>
      <c r="B15" s="5" t="str">
        <f>vlookup(LEFT(A15,2),nama_barang,2,false)</f>
        <v>KULKAS </v>
      </c>
      <c r="C15" s="5" t="str">
        <f t="shared" si="1"/>
        <v>SAMSUNG</v>
      </c>
      <c r="D15" s="45">
        <v>1100000.0</v>
      </c>
      <c r="E15" s="46">
        <f t="shared" si="2"/>
        <v>1375000</v>
      </c>
      <c r="F15" s="3">
        <v>10.0</v>
      </c>
      <c r="G15" s="47">
        <f t="shared" si="3"/>
        <v>11000000</v>
      </c>
      <c r="H15" s="48">
        <f t="shared" si="4"/>
        <v>13750000</v>
      </c>
      <c r="I15" s="46">
        <f t="shared" si="5"/>
        <v>2750000</v>
      </c>
      <c r="J15" s="5"/>
    </row>
    <row r="16">
      <c r="A16" s="49" t="s">
        <v>97</v>
      </c>
      <c r="B16" s="50"/>
      <c r="C16" s="50"/>
      <c r="D16" s="50"/>
      <c r="E16" s="50"/>
      <c r="F16" s="51"/>
    </row>
    <row r="18">
      <c r="A18" s="52" t="s">
        <v>98</v>
      </c>
      <c r="D18" s="1" t="s">
        <v>99</v>
      </c>
    </row>
    <row r="19">
      <c r="A19" s="44" t="s">
        <v>77</v>
      </c>
      <c r="B19" s="44" t="s">
        <v>100</v>
      </c>
      <c r="D19" s="42" t="s">
        <v>101</v>
      </c>
      <c r="E19" s="3">
        <v>1.0</v>
      </c>
      <c r="F19" s="3">
        <v>2.0</v>
      </c>
      <c r="G19" s="3">
        <v>3.0</v>
      </c>
      <c r="H19" s="3">
        <v>4.0</v>
      </c>
      <c r="I19" s="3">
        <v>5.0</v>
      </c>
    </row>
    <row r="20">
      <c r="A20" s="3" t="s">
        <v>102</v>
      </c>
      <c r="B20" s="3" t="s">
        <v>103</v>
      </c>
      <c r="D20" s="42" t="s">
        <v>50</v>
      </c>
      <c r="E20" s="3" t="s">
        <v>104</v>
      </c>
      <c r="F20" s="3" t="s">
        <v>105</v>
      </c>
      <c r="G20" s="3" t="s">
        <v>106</v>
      </c>
      <c r="H20" s="3" t="s">
        <v>59</v>
      </c>
      <c r="I20" s="3" t="s">
        <v>107</v>
      </c>
    </row>
    <row r="21">
      <c r="A21" s="3" t="s">
        <v>108</v>
      </c>
      <c r="B21" s="3" t="s">
        <v>109</v>
      </c>
    </row>
    <row r="22">
      <c r="A22" s="3" t="s">
        <v>110</v>
      </c>
      <c r="B22" s="3" t="s">
        <v>111</v>
      </c>
    </row>
    <row r="23">
      <c r="A23" s="3" t="s">
        <v>112</v>
      </c>
      <c r="B23" s="3" t="s">
        <v>113</v>
      </c>
    </row>
    <row r="24">
      <c r="A24" s="3" t="s">
        <v>114</v>
      </c>
      <c r="B24" s="3" t="s">
        <v>115</v>
      </c>
    </row>
  </sheetData>
  <mergeCells count="1">
    <mergeCell ref="A16:F1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116</v>
      </c>
    </row>
    <row r="2">
      <c r="A2" s="53" t="s">
        <v>117</v>
      </c>
      <c r="B2" s="53" t="s">
        <v>118</v>
      </c>
      <c r="C2" s="53" t="s">
        <v>119</v>
      </c>
      <c r="D2" s="53" t="s">
        <v>120</v>
      </c>
      <c r="E2" s="54" t="s">
        <v>121</v>
      </c>
      <c r="F2" s="53" t="s">
        <v>122</v>
      </c>
    </row>
    <row r="3">
      <c r="A3" s="4" t="s">
        <v>123</v>
      </c>
      <c r="B3" s="4" t="s">
        <v>124</v>
      </c>
      <c r="C3" s="55">
        <f t="shared" ref="C3:C8" si="1">IF(B3="Manager",5000000,IF(B3="Staff",3000000,2000000))</f>
        <v>3000000</v>
      </c>
      <c r="D3" s="55">
        <f t="shared" ref="D3:D8" si="2">IF(B3="Staff",2000000,IF(B3="Operator",2000000,2500000))</f>
        <v>2000000</v>
      </c>
      <c r="E3" s="55">
        <f t="shared" ref="E3:E8" si="3">$C$3:$C$8+$D$3:$D$8</f>
        <v>5000000</v>
      </c>
      <c r="F3" s="55">
        <f t="shared" ref="F3:F8" si="4">IF(E3&gt;=7000000,E3*10%,IF(E3&gt;=5000000,E3*7%,E3*3%))</f>
        <v>350000</v>
      </c>
    </row>
    <row r="4">
      <c r="A4" s="4" t="s">
        <v>125</v>
      </c>
      <c r="B4" s="4" t="s">
        <v>126</v>
      </c>
      <c r="C4" s="55">
        <f t="shared" si="1"/>
        <v>2000000</v>
      </c>
      <c r="D4" s="55">
        <f t="shared" si="2"/>
        <v>2000000</v>
      </c>
      <c r="E4" s="55">
        <f t="shared" si="3"/>
        <v>4000000</v>
      </c>
      <c r="F4" s="55">
        <f t="shared" si="4"/>
        <v>120000</v>
      </c>
    </row>
    <row r="5">
      <c r="A5" s="4" t="s">
        <v>127</v>
      </c>
      <c r="B5" s="4" t="s">
        <v>128</v>
      </c>
      <c r="C5" s="55">
        <f t="shared" si="1"/>
        <v>5000000</v>
      </c>
      <c r="D5" s="55">
        <f t="shared" si="2"/>
        <v>2500000</v>
      </c>
      <c r="E5" s="55">
        <f t="shared" si="3"/>
        <v>7500000</v>
      </c>
      <c r="F5" s="55">
        <f t="shared" si="4"/>
        <v>750000</v>
      </c>
    </row>
    <row r="6">
      <c r="A6" s="4" t="s">
        <v>129</v>
      </c>
      <c r="B6" s="4" t="s">
        <v>126</v>
      </c>
      <c r="C6" s="55">
        <f t="shared" si="1"/>
        <v>2000000</v>
      </c>
      <c r="D6" s="55">
        <f t="shared" si="2"/>
        <v>2000000</v>
      </c>
      <c r="E6" s="55">
        <f t="shared" si="3"/>
        <v>4000000</v>
      </c>
      <c r="F6" s="55">
        <f t="shared" si="4"/>
        <v>120000</v>
      </c>
    </row>
    <row r="7">
      <c r="A7" s="4" t="s">
        <v>130</v>
      </c>
      <c r="B7" s="4" t="s">
        <v>126</v>
      </c>
      <c r="C7" s="55">
        <f t="shared" si="1"/>
        <v>2000000</v>
      </c>
      <c r="D7" s="55">
        <f t="shared" si="2"/>
        <v>2000000</v>
      </c>
      <c r="E7" s="55">
        <f t="shared" si="3"/>
        <v>4000000</v>
      </c>
      <c r="F7" s="55">
        <f t="shared" si="4"/>
        <v>120000</v>
      </c>
    </row>
    <row r="8">
      <c r="A8" s="4" t="s">
        <v>131</v>
      </c>
      <c r="B8" s="4" t="s">
        <v>124</v>
      </c>
      <c r="C8" s="55">
        <f t="shared" si="1"/>
        <v>3000000</v>
      </c>
      <c r="D8" s="55">
        <f t="shared" si="2"/>
        <v>2000000</v>
      </c>
      <c r="E8" s="55">
        <f t="shared" si="3"/>
        <v>5000000</v>
      </c>
      <c r="F8" s="55">
        <f t="shared" si="4"/>
        <v>350000</v>
      </c>
    </row>
  </sheetData>
  <drawing r:id="rId1"/>
</worksheet>
</file>